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740" activeTab="0"/>
  </bookViews>
  <sheets>
    <sheet name="Calculations" sheetId="1" r:id="rId1"/>
    <sheet name="Bill of Materials" sheetId="2" r:id="rId2"/>
    <sheet name="Machine Bolts" sheetId="3" r:id="rId3"/>
    <sheet name="Shopping List - Round 2" sheetId="4" r:id="rId4"/>
  </sheets>
  <definedNames>
    <definedName name="_xlnm.Print_Titles" localSheetId="2">'Machine Bolts'!$A:$A</definedName>
  </definedNames>
  <calcPr fullCalcOnLoad="1"/>
</workbook>
</file>

<file path=xl/sharedStrings.xml><?xml version="1.0" encoding="utf-8"?>
<sst xmlns="http://schemas.openxmlformats.org/spreadsheetml/2006/main" count="388" uniqueCount="176">
  <si>
    <t>Roofing</t>
  </si>
  <si>
    <t>QTY</t>
  </si>
  <si>
    <t>Total Cost</t>
  </si>
  <si>
    <t>Unit Cost</t>
  </si>
  <si>
    <t xml:space="preserve">  Flashings, Wall Connector: 50"</t>
  </si>
  <si>
    <t xml:space="preserve">  Closure Strips, Hor., Foam: 36"</t>
  </si>
  <si>
    <t>Project Dimensions</t>
  </si>
  <si>
    <t xml:space="preserve">  Total Width</t>
  </si>
  <si>
    <t xml:space="preserve">  Total Square Feet</t>
  </si>
  <si>
    <t xml:space="preserve">  Total Depth</t>
  </si>
  <si>
    <t>feet</t>
  </si>
  <si>
    <t>square feet</t>
  </si>
  <si>
    <t xml:space="preserve">  Fasteners, Woodtite: 50 sq ft / box</t>
  </si>
  <si>
    <t xml:space="preserve">  Subtotal</t>
  </si>
  <si>
    <t>Ledger</t>
  </si>
  <si>
    <t xml:space="preserve">  Deck Screws: 3"</t>
  </si>
  <si>
    <t>Ledger Spacers</t>
  </si>
  <si>
    <t>inches</t>
  </si>
  <si>
    <t xml:space="preserve">  Length of 4x4 Spacer</t>
  </si>
  <si>
    <t xml:space="preserve">  Number of Spacers</t>
  </si>
  <si>
    <t xml:space="preserve">  Total Length Necessary</t>
  </si>
  <si>
    <t>Beam Spacers</t>
  </si>
  <si>
    <t>Rafter Spacers</t>
  </si>
  <si>
    <t>Diagonal Supports</t>
  </si>
  <si>
    <t xml:space="preserve">  Length of 4x4 Diagonal</t>
  </si>
  <si>
    <t xml:space="preserve">  Number of Diagonals</t>
  </si>
  <si>
    <t>4x4x10</t>
  </si>
  <si>
    <t>Remaining</t>
  </si>
  <si>
    <t xml:space="preserve">  Spacer Boards: 4x4x10</t>
  </si>
  <si>
    <t xml:space="preserve">  O.C.</t>
  </si>
  <si>
    <t xml:space="preserve">  Feet to Cover</t>
  </si>
  <si>
    <t xml:space="preserve">  at 2 per every other o.c.</t>
  </si>
  <si>
    <t xml:space="preserve">  Washers for Lag Bolts</t>
  </si>
  <si>
    <t>Lag Bolts for Ledger</t>
  </si>
  <si>
    <t xml:space="preserve">  Machine Bolts: 3/8" x 5"</t>
  </si>
  <si>
    <t xml:space="preserve">  Washers for Machine Bolts</t>
  </si>
  <si>
    <t xml:space="preserve">  Nuts for Machine Bolts</t>
  </si>
  <si>
    <t>Home Depot</t>
  </si>
  <si>
    <t>Lowes</t>
  </si>
  <si>
    <t xml:space="preserve">  Bolt Stops (keep bolt frrom turning)</t>
  </si>
  <si>
    <t>Post Bases</t>
  </si>
  <si>
    <t xml:space="preserve">  Suntuf Panels: 26" x 8'  (36)</t>
  </si>
  <si>
    <t xml:space="preserve">  18" diameter tube (at least 5')</t>
  </si>
  <si>
    <t>Concrete for Post Base</t>
  </si>
  <si>
    <t xml:space="preserve">  diameter</t>
  </si>
  <si>
    <t xml:space="preserve">  depth</t>
  </si>
  <si>
    <t xml:space="preserve">  volume</t>
  </si>
  <si>
    <t>cu in</t>
  </si>
  <si>
    <t>cu ft</t>
  </si>
  <si>
    <t xml:space="preserve">  Fast Setting Concrete Mix</t>
  </si>
  <si>
    <t>50 lb bags</t>
  </si>
  <si>
    <t xml:space="preserve">  bags reco-ed by quikrete.com</t>
  </si>
  <si>
    <t>bags</t>
  </si>
  <si>
    <t xml:space="preserve">  bags per cu ft</t>
  </si>
  <si>
    <t>Concrete for top of post base</t>
  </si>
  <si>
    <t xml:space="preserve">  area</t>
  </si>
  <si>
    <t>sq ft</t>
  </si>
  <si>
    <t>sq in</t>
  </si>
  <si>
    <t xml:space="preserve">  Fast Setting Concrete Mix: 60lb bags</t>
  </si>
  <si>
    <t xml:space="preserve">  Post Anchors: 6x6</t>
  </si>
  <si>
    <t xml:space="preserve">  Anchor Bolts: 5/8" x 6"</t>
  </si>
  <si>
    <t xml:space="preserve">  Nuts: 5/8"</t>
  </si>
  <si>
    <t>Posts</t>
  </si>
  <si>
    <t xml:space="preserve">  16d HDG nails</t>
  </si>
  <si>
    <t>Beams</t>
  </si>
  <si>
    <t xml:space="preserve">  Beams: 2x10x8</t>
  </si>
  <si>
    <t xml:space="preserve">  Machine Bolts: 5/8" x 6 1/2"</t>
  </si>
  <si>
    <t xml:space="preserve">  Machine Bolts: 5/8" x 6 1/4" + n/w</t>
  </si>
  <si>
    <t>Beam/Rafter Spacers</t>
  </si>
  <si>
    <t xml:space="preserve">  Spacer Boards (none: covered above)</t>
  </si>
  <si>
    <t xml:space="preserve">  Machine Bolts: 5/8" x 6 1/2" + n/w</t>
  </si>
  <si>
    <t>Rafters</t>
  </si>
  <si>
    <t xml:space="preserve">  Rafters: 2x8x16</t>
  </si>
  <si>
    <t xml:space="preserve">  Machine Bolts: 3/8" x 6 1/2"</t>
  </si>
  <si>
    <t xml:space="preserve">  Machine Bolts: 3/8" x 6 1/2" + n/w</t>
  </si>
  <si>
    <t xml:space="preserve">  Purlins: 2x2x8</t>
  </si>
  <si>
    <t xml:space="preserve">  Purlins: 2x4x8</t>
  </si>
  <si>
    <t xml:space="preserve">  Purlins: 2x4x10</t>
  </si>
  <si>
    <t>Purlins and Hardware</t>
  </si>
  <si>
    <t xml:space="preserve">  Decking Screws</t>
  </si>
  <si>
    <t xml:space="preserve">  Posts: 6x6x10</t>
  </si>
  <si>
    <t xml:space="preserve">  Posts: 6x6x12</t>
  </si>
  <si>
    <t xml:space="preserve">  Posts: 6x6x8</t>
  </si>
  <si>
    <t>Purlins (2x2)</t>
  </si>
  <si>
    <t xml:space="preserve">  Length</t>
  </si>
  <si>
    <t xml:space="preserve">  Rows</t>
  </si>
  <si>
    <t xml:space="preserve">  Row Length</t>
  </si>
  <si>
    <t xml:space="preserve">  2x2x8</t>
  </si>
  <si>
    <t>Diagonal Beam Supports</t>
  </si>
  <si>
    <t xml:space="preserve">  Machine Bolts: 5/8" x 8 1/4" + n/w</t>
  </si>
  <si>
    <t xml:space="preserve">  Machine Bolts: 5/8" x 6 3/4" + n/w</t>
  </si>
  <si>
    <t xml:space="preserve">  Suntuf Panels: 49.6" x 16'  (9)</t>
  </si>
  <si>
    <t xml:space="preserve">  Lag Bolts: 1/2" x 5 1/2"</t>
  </si>
  <si>
    <t>Description</t>
  </si>
  <si>
    <t>bears weight of itself and shares load of roofing</t>
  </si>
  <si>
    <t>Connect 2x10 to 6x6</t>
  </si>
  <si>
    <t>Dia</t>
  </si>
  <si>
    <t>Carriage</t>
  </si>
  <si>
    <t>Machine</t>
  </si>
  <si>
    <t>Where</t>
  </si>
  <si>
    <t>Bolt Type</t>
  </si>
  <si>
    <t>shared weight of rafters + shared weight of roofing, but rests on 1" ledge of post</t>
  </si>
  <si>
    <t>Diagonal Type 1</t>
  </si>
  <si>
    <t>Connect 4x4 to Beams</t>
  </si>
  <si>
    <t>Connect one 4x4 to Post</t>
  </si>
  <si>
    <t>Diagonal Type 2</t>
  </si>
  <si>
    <t>Diagonal Type 3</t>
  </si>
  <si>
    <t>Connect two 4x4s to Post</t>
  </si>
  <si>
    <t>Connect 4x4 between rafters</t>
  </si>
  <si>
    <t>a little support for squareness, esp in high winds</t>
  </si>
  <si>
    <t>keeps rafters straight, may have objects hung from them</t>
  </si>
  <si>
    <t>B/R Spacers</t>
  </si>
  <si>
    <t>Connect 2x10 beam to 4x4 spacer</t>
  </si>
  <si>
    <t>prevent liftoff of rafter and maintain spacing</t>
  </si>
  <si>
    <t>Rafter Spacers 1</t>
  </si>
  <si>
    <t>Rafters Type 1</t>
  </si>
  <si>
    <t>Connect 2x8 Rafter to 4x4 on ledger</t>
  </si>
  <si>
    <t>Rafters Type 2</t>
  </si>
  <si>
    <t>Connect Rafters to Post or B/R Spacer</t>
  </si>
  <si>
    <t>Rafters Type 3</t>
  </si>
  <si>
    <t>Connect one Rafter to 4x4</t>
  </si>
  <si>
    <t xml:space="preserve">  Carriage Bolts: 3/8" x 5"</t>
  </si>
  <si>
    <t>Countersink?</t>
  </si>
  <si>
    <t>Head and Nut</t>
  </si>
  <si>
    <t>Subtotal</t>
  </si>
  <si>
    <t>Length Comments</t>
  </si>
  <si>
    <t>Len</t>
  </si>
  <si>
    <t>Qty</t>
  </si>
  <si>
    <t>1.5 + 5.25 + 1.5 = 8.25</t>
  </si>
  <si>
    <t>1.5 + 3.5 = 5</t>
  </si>
  <si>
    <t>1/2</t>
  </si>
  <si>
    <t>3/8</t>
  </si>
  <si>
    <t>5/8</t>
  </si>
  <si>
    <t>1.5 + 5.25 = 6.75</t>
  </si>
  <si>
    <t>Connect 2x8 Ledger to 4x4</t>
  </si>
  <si>
    <t>no</t>
  </si>
  <si>
    <t>Load Rating Preference (1=low, 5=high)</t>
  </si>
  <si>
    <t>N</t>
  </si>
  <si>
    <t>W</t>
  </si>
  <si>
    <t>1.5 + 3.5 + 1.5 + 2/8 + 1/2 = 7.25</t>
  </si>
  <si>
    <t>1.5 + 3.5 + 2/8 + 1/2 = 5.75</t>
  </si>
  <si>
    <t>Hardware</t>
  </si>
  <si>
    <t>6" B</t>
  </si>
  <si>
    <t>8" B</t>
  </si>
  <si>
    <t>1/2" Carriage</t>
  </si>
  <si>
    <t>1/2 C</t>
  </si>
  <si>
    <t>Nuts</t>
  </si>
  <si>
    <t>Washers</t>
  </si>
  <si>
    <t>Cost</t>
  </si>
  <si>
    <t>Qty Bolts</t>
  </si>
  <si>
    <t>PROJECT GRAND TOTAL</t>
  </si>
  <si>
    <t xml:space="preserve">  Concrete Mix: 80 lb bags</t>
  </si>
  <si>
    <t>80 lb bags</t>
  </si>
  <si>
    <t xml:space="preserve">  multiplier (36" hole / 6" incr)</t>
  </si>
  <si>
    <t xml:space="preserve">  number of holes</t>
  </si>
  <si>
    <t xml:space="preserve">  Concrete Mix (calc at Quikrete.com)</t>
  </si>
  <si>
    <t>5/4 x 6 x 10' decking to fix gutter</t>
  </si>
  <si>
    <t xml:space="preserve">  Closure Strips, Vert., Wood: 24" (6pk)</t>
  </si>
  <si>
    <t xml:space="preserve">  Rebar: 1/2" x 2'</t>
  </si>
  <si>
    <t xml:space="preserve">  Beams: 2x10x12</t>
  </si>
  <si>
    <t xml:space="preserve">  Ledger Boards: 2x8x8</t>
  </si>
  <si>
    <t xml:space="preserve">  Ledger Boards: 2x8x10</t>
  </si>
  <si>
    <t>Washer</t>
  </si>
  <si>
    <t>Outside Dimension</t>
  </si>
  <si>
    <t>Thickness</t>
  </si>
  <si>
    <t>1/8</t>
  </si>
  <si>
    <t>Purlins (2x4)</t>
  </si>
  <si>
    <t xml:space="preserve">  6.5,8,8,8,6.5</t>
  </si>
  <si>
    <t xml:space="preserve">  2x4x8</t>
  </si>
  <si>
    <t xml:space="preserve">  Electric Mixer Rental</t>
  </si>
  <si>
    <t>1/2 Lag</t>
  </si>
  <si>
    <t>Lag</t>
  </si>
  <si>
    <t>Head</t>
  </si>
  <si>
    <t>Connect Ledger to House</t>
  </si>
  <si>
    <t>SHOPPING TRIP GRAND TOTAL</t>
  </si>
  <si>
    <t xml:space="preserve">  Truck Rental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</si>
</sst>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 quotePrefix="1">
      <alignment/>
    </xf>
    <xf numFmtId="16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quotePrefix="1">
      <alignment horizontal="center"/>
    </xf>
    <xf numFmtId="3" fontId="0" fillId="0" borderId="0" xfId="0" applyNumberFormat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2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6.00390625" style="1" customWidth="1"/>
    <col min="3" max="3" width="10.00390625" style="4" customWidth="1"/>
    <col min="4" max="4" width="10.57421875" style="4" customWidth="1"/>
    <col min="5" max="13" width="7.421875" style="1" customWidth="1"/>
    <col min="14" max="14" width="7.421875" style="0" customWidth="1"/>
  </cols>
  <sheetData>
    <row r="1" ht="12.75">
      <c r="A1" t="s">
        <v>6</v>
      </c>
    </row>
    <row r="2" spans="1:3" ht="12.75">
      <c r="A2" t="s">
        <v>7</v>
      </c>
      <c r="B2" s="1">
        <v>36</v>
      </c>
      <c r="C2" s="4" t="s">
        <v>10</v>
      </c>
    </row>
    <row r="3" spans="1:3" ht="12.75">
      <c r="A3" t="s">
        <v>9</v>
      </c>
      <c r="B3" s="1">
        <v>16</v>
      </c>
      <c r="C3" s="4" t="s">
        <v>10</v>
      </c>
    </row>
    <row r="4" spans="1:3" ht="12.75">
      <c r="A4" t="s">
        <v>8</v>
      </c>
      <c r="B4" s="1">
        <f>B2*B3</f>
        <v>576</v>
      </c>
      <c r="C4" s="4" t="s">
        <v>11</v>
      </c>
    </row>
    <row r="5" spans="5:15" ht="12.75">
      <c r="E5" s="1" t="s">
        <v>26</v>
      </c>
      <c r="F5" s="1" t="s">
        <v>26</v>
      </c>
      <c r="G5" s="1" t="s">
        <v>26</v>
      </c>
      <c r="H5" s="1" t="s">
        <v>26</v>
      </c>
      <c r="I5" s="1" t="s">
        <v>26</v>
      </c>
      <c r="J5" s="1" t="s">
        <v>26</v>
      </c>
      <c r="K5" s="1" t="s">
        <v>26</v>
      </c>
      <c r="M5" s="1" t="s">
        <v>27</v>
      </c>
      <c r="O5">
        <f>COUNTA(E5:K5)</f>
        <v>7</v>
      </c>
    </row>
    <row r="6" ht="12.75">
      <c r="A6" t="s">
        <v>16</v>
      </c>
    </row>
    <row r="7" spans="1:13" ht="12.75">
      <c r="A7" t="s">
        <v>18</v>
      </c>
      <c r="B7" s="1">
        <f>8/12</f>
        <v>0.6666666666666666</v>
      </c>
      <c r="C7" s="4" t="s">
        <v>10</v>
      </c>
      <c r="G7" s="1">
        <v>2</v>
      </c>
      <c r="H7" s="1">
        <v>1</v>
      </c>
      <c r="I7" s="1">
        <v>1</v>
      </c>
      <c r="J7" s="1">
        <v>1</v>
      </c>
      <c r="K7" s="1">
        <v>6</v>
      </c>
      <c r="M7" s="1">
        <f>B8-SUM(E7:L7)</f>
        <v>0</v>
      </c>
    </row>
    <row r="8" spans="1:2" ht="12.75">
      <c r="A8" t="s">
        <v>19</v>
      </c>
      <c r="B8" s="1">
        <v>11</v>
      </c>
    </row>
    <row r="9" spans="1:3" ht="12.75">
      <c r="A9" t="s">
        <v>20</v>
      </c>
      <c r="B9" s="1">
        <f>B8*B7</f>
        <v>7.333333333333333</v>
      </c>
      <c r="C9" s="4" t="s">
        <v>10</v>
      </c>
    </row>
    <row r="11" ht="12.75">
      <c r="A11" t="s">
        <v>21</v>
      </c>
    </row>
    <row r="12" spans="1:13" ht="12.75">
      <c r="A12" t="s">
        <v>18</v>
      </c>
      <c r="B12" s="1">
        <f>20/12</f>
        <v>1.6666666666666667</v>
      </c>
      <c r="C12" s="4" t="s">
        <v>10</v>
      </c>
      <c r="G12" s="1">
        <v>1</v>
      </c>
      <c r="J12" s="1">
        <v>5</v>
      </c>
      <c r="M12" s="1">
        <f>B13-SUM(E12:L12)</f>
        <v>0</v>
      </c>
    </row>
    <row r="13" spans="1:2" ht="12.75">
      <c r="A13" t="s">
        <v>19</v>
      </c>
      <c r="B13" s="1">
        <v>6</v>
      </c>
    </row>
    <row r="14" spans="1:3" ht="12.75">
      <c r="A14" t="s">
        <v>20</v>
      </c>
      <c r="B14" s="1">
        <f>B13*B12</f>
        <v>10</v>
      </c>
      <c r="C14" s="4" t="s">
        <v>10</v>
      </c>
    </row>
    <row r="16" ht="12.75">
      <c r="A16" t="s">
        <v>22</v>
      </c>
    </row>
    <row r="17" spans="1:13" ht="12.75">
      <c r="A17" t="s">
        <v>18</v>
      </c>
      <c r="B17" s="1">
        <f>10/12</f>
        <v>0.8333333333333334</v>
      </c>
      <c r="C17" s="4" t="s">
        <v>10</v>
      </c>
      <c r="E17" s="1">
        <v>1</v>
      </c>
      <c r="F17" s="1">
        <v>1</v>
      </c>
      <c r="G17" s="1">
        <v>1</v>
      </c>
      <c r="H17" s="1">
        <v>11</v>
      </c>
      <c r="I17" s="1">
        <v>11</v>
      </c>
      <c r="J17" s="1">
        <v>1</v>
      </c>
      <c r="K17" s="1">
        <v>1</v>
      </c>
      <c r="M17" s="1">
        <f>B18-SUM(E17:L17)</f>
        <v>0</v>
      </c>
    </row>
    <row r="18" spans="1:2" ht="12.75">
      <c r="A18" t="s">
        <v>19</v>
      </c>
      <c r="B18" s="1">
        <v>27</v>
      </c>
    </row>
    <row r="19" spans="1:3" ht="12.75">
      <c r="A19" t="s">
        <v>20</v>
      </c>
      <c r="B19" s="1">
        <f>B18*B17</f>
        <v>22.5</v>
      </c>
      <c r="C19" s="4" t="s">
        <v>10</v>
      </c>
    </row>
    <row r="21" ht="12.75">
      <c r="A21" t="s">
        <v>23</v>
      </c>
    </row>
    <row r="22" spans="1:13" ht="12.75">
      <c r="A22" t="s">
        <v>24</v>
      </c>
      <c r="B22" s="1">
        <v>3</v>
      </c>
      <c r="C22" s="4" t="s">
        <v>10</v>
      </c>
      <c r="E22" s="1">
        <v>3</v>
      </c>
      <c r="F22" s="1">
        <v>3</v>
      </c>
      <c r="G22" s="1">
        <v>2</v>
      </c>
      <c r="M22" s="1">
        <f>B23-SUM(E22:L22)</f>
        <v>0</v>
      </c>
    </row>
    <row r="23" spans="1:2" ht="12.75">
      <c r="A23" t="s">
        <v>25</v>
      </c>
      <c r="B23" s="1">
        <v>8</v>
      </c>
    </row>
    <row r="24" spans="1:3" ht="12.75">
      <c r="A24" t="s">
        <v>20</v>
      </c>
      <c r="B24" s="1">
        <f>B23*B22</f>
        <v>24</v>
      </c>
      <c r="C24" s="4" t="s">
        <v>10</v>
      </c>
    </row>
    <row r="25" spans="5:12" ht="12.75">
      <c r="E25" s="1">
        <f>E22*$B22+E17*$B17+E12*$B12+E7*$B7</f>
        <v>9.833333333333334</v>
      </c>
      <c r="F25" s="1">
        <f aca="true" t="shared" si="0" ref="F25:L25">F22*$B22+F17*$B17+F12*$B12+F7*$B7</f>
        <v>9.833333333333334</v>
      </c>
      <c r="G25" s="1">
        <f t="shared" si="0"/>
        <v>9.833333333333334</v>
      </c>
      <c r="H25" s="1">
        <f t="shared" si="0"/>
        <v>9.833333333333334</v>
      </c>
      <c r="I25" s="1">
        <f t="shared" si="0"/>
        <v>9.833333333333334</v>
      </c>
      <c r="J25" s="1">
        <f t="shared" si="0"/>
        <v>9.833333333333334</v>
      </c>
      <c r="K25" s="1">
        <f t="shared" si="0"/>
        <v>4.833333333333333</v>
      </c>
      <c r="L25" s="1">
        <f t="shared" si="0"/>
        <v>0</v>
      </c>
    </row>
    <row r="27" spans="1:5" ht="12.75">
      <c r="A27" t="s">
        <v>33</v>
      </c>
      <c r="E27" s="9"/>
    </row>
    <row r="28" spans="1:3" ht="12.75">
      <c r="A28" t="s">
        <v>29</v>
      </c>
      <c r="B28" s="1">
        <f>16/12</f>
        <v>1.3333333333333333</v>
      </c>
      <c r="C28" s="4" t="s">
        <v>10</v>
      </c>
    </row>
    <row r="29" spans="1:3" ht="12.75">
      <c r="A29" t="s">
        <v>30</v>
      </c>
      <c r="B29" s="1">
        <v>36</v>
      </c>
      <c r="C29" s="4" t="s">
        <v>10</v>
      </c>
    </row>
    <row r="30" spans="1:2" ht="12.75">
      <c r="A30" t="s">
        <v>31</v>
      </c>
      <c r="B30" s="1">
        <f>(B29/B28+1)*3/2</f>
        <v>42</v>
      </c>
    </row>
    <row r="32" ht="12.75">
      <c r="A32" t="s">
        <v>43</v>
      </c>
    </row>
    <row r="33" spans="1:3" ht="12.75">
      <c r="A33" t="s">
        <v>44</v>
      </c>
      <c r="B33" s="1">
        <v>18</v>
      </c>
      <c r="C33" s="4" t="s">
        <v>17</v>
      </c>
    </row>
    <row r="34" spans="1:3" ht="12.75">
      <c r="A34" t="s">
        <v>45</v>
      </c>
      <c r="B34" s="1">
        <v>0</v>
      </c>
      <c r="C34" s="4" t="s">
        <v>17</v>
      </c>
    </row>
    <row r="35" spans="1:3" ht="12.75">
      <c r="A35" t="s">
        <v>46</v>
      </c>
      <c r="B35" s="1">
        <f>ROUND(PI()*((B33/2)^2)*B34,0)</f>
        <v>0</v>
      </c>
      <c r="C35" s="4" t="s">
        <v>47</v>
      </c>
    </row>
    <row r="36" spans="1:3" ht="12.75">
      <c r="A36" t="s">
        <v>46</v>
      </c>
      <c r="B36" s="1">
        <f>ROUND(B35/12/12/12,1)</f>
        <v>0</v>
      </c>
      <c r="C36" s="4" t="s">
        <v>48</v>
      </c>
    </row>
    <row r="37" spans="1:3" ht="12.75">
      <c r="A37" t="s">
        <v>49</v>
      </c>
      <c r="B37" s="1">
        <f>ROUND(B36*B44,0)</f>
        <v>0</v>
      </c>
      <c r="C37" s="4" t="s">
        <v>50</v>
      </c>
    </row>
    <row r="39" spans="1:3" ht="12.75">
      <c r="A39" t="s">
        <v>44</v>
      </c>
      <c r="B39" s="1">
        <v>12</v>
      </c>
      <c r="C39" s="4" t="s">
        <v>17</v>
      </c>
    </row>
    <row r="40" spans="1:3" ht="12.75">
      <c r="A40" t="s">
        <v>45</v>
      </c>
      <c r="B40" s="1">
        <v>150</v>
      </c>
      <c r="C40" s="4" t="s">
        <v>17</v>
      </c>
    </row>
    <row r="41" spans="1:3" ht="12.75">
      <c r="A41" t="s">
        <v>46</v>
      </c>
      <c r="B41" s="1">
        <f>ROUND(PI()*((B39/2)^2)*B40,0)</f>
        <v>16965</v>
      </c>
      <c r="C41" s="4" t="s">
        <v>47</v>
      </c>
    </row>
    <row r="42" spans="1:3" ht="12.75">
      <c r="A42" t="s">
        <v>46</v>
      </c>
      <c r="B42" s="1">
        <f>ROUND(B41/12/12/12,1)</f>
        <v>9.8</v>
      </c>
      <c r="C42" s="4" t="s">
        <v>48</v>
      </c>
    </row>
    <row r="43" spans="1:3" ht="12.75">
      <c r="A43" t="s">
        <v>51</v>
      </c>
      <c r="B43" s="1">
        <v>23</v>
      </c>
      <c r="C43" s="4" t="s">
        <v>52</v>
      </c>
    </row>
    <row r="44" spans="1:2" ht="12.75">
      <c r="A44" t="s">
        <v>53</v>
      </c>
      <c r="B44" s="1">
        <f>B43/B42</f>
        <v>2.346938775510204</v>
      </c>
    </row>
    <row r="46" ht="12.75">
      <c r="A46" t="s">
        <v>54</v>
      </c>
    </row>
    <row r="47" spans="1:3" ht="12.75">
      <c r="A47" t="s">
        <v>44</v>
      </c>
      <c r="B47" s="1">
        <v>18</v>
      </c>
      <c r="C47" s="4" t="s">
        <v>17</v>
      </c>
    </row>
    <row r="48" spans="1:3" ht="12.75">
      <c r="A48" t="s">
        <v>45</v>
      </c>
      <c r="B48" s="1">
        <v>6</v>
      </c>
      <c r="C48" s="4" t="s">
        <v>17</v>
      </c>
    </row>
    <row r="49" spans="1:2" ht="12.75">
      <c r="A49" t="s">
        <v>153</v>
      </c>
      <c r="B49" s="1">
        <v>6</v>
      </c>
    </row>
    <row r="50" spans="1:2" ht="12.75">
      <c r="A50" t="s">
        <v>154</v>
      </c>
      <c r="B50" s="1">
        <v>5</v>
      </c>
    </row>
    <row r="51" spans="1:3" ht="12.75">
      <c r="A51" t="s">
        <v>55</v>
      </c>
      <c r="B51" s="1">
        <f>ROUND(PI()*((B47/2)^2)*B50*B49,0)</f>
        <v>7634</v>
      </c>
      <c r="C51" s="4" t="s">
        <v>57</v>
      </c>
    </row>
    <row r="52" spans="1:3" ht="12.75">
      <c r="A52" t="s">
        <v>55</v>
      </c>
      <c r="B52" s="1">
        <f>ROUND(B51/12/12,1)</f>
        <v>53</v>
      </c>
      <c r="C52" s="4" t="s">
        <v>56</v>
      </c>
    </row>
    <row r="53" spans="1:3" ht="12.75">
      <c r="A53" t="s">
        <v>155</v>
      </c>
      <c r="B53" s="1">
        <v>44</v>
      </c>
      <c r="C53" s="4" t="s">
        <v>152</v>
      </c>
    </row>
    <row r="55" ht="12.75">
      <c r="A55" t="s">
        <v>83</v>
      </c>
    </row>
    <row r="56" spans="1:2" ht="12.75">
      <c r="A56" t="s">
        <v>84</v>
      </c>
      <c r="B56" s="1">
        <v>8</v>
      </c>
    </row>
    <row r="57" spans="1:2" ht="12.75">
      <c r="A57" t="s">
        <v>85</v>
      </c>
      <c r="B57" s="1">
        <v>4</v>
      </c>
    </row>
    <row r="58" spans="1:2" ht="12.75">
      <c r="A58" t="s">
        <v>86</v>
      </c>
      <c r="B58" s="1">
        <v>37</v>
      </c>
    </row>
    <row r="59" ht="12.75">
      <c r="A59" t="s">
        <v>167</v>
      </c>
    </row>
    <row r="60" spans="1:2" ht="12.75">
      <c r="A60" t="s">
        <v>87</v>
      </c>
      <c r="B60" s="1">
        <f>5*B57</f>
        <v>20</v>
      </c>
    </row>
    <row r="62" ht="12.75">
      <c r="A62" t="s">
        <v>166</v>
      </c>
    </row>
    <row r="63" spans="1:2" ht="12.75">
      <c r="A63" t="s">
        <v>84</v>
      </c>
      <c r="B63" s="1">
        <v>8</v>
      </c>
    </row>
    <row r="64" spans="1:2" ht="12.75">
      <c r="A64" t="s">
        <v>85</v>
      </c>
      <c r="B64" s="1">
        <v>5</v>
      </c>
    </row>
    <row r="65" spans="1:2" ht="12.75">
      <c r="A65" t="s">
        <v>86</v>
      </c>
      <c r="B65" s="1">
        <v>37</v>
      </c>
    </row>
    <row r="66" ht="12.75">
      <c r="A66" t="s">
        <v>167</v>
      </c>
    </row>
    <row r="67" spans="1:2" ht="12.75">
      <c r="A67" t="s">
        <v>168</v>
      </c>
      <c r="B67" s="1">
        <f>5*B64</f>
        <v>25</v>
      </c>
    </row>
  </sheetData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140625" style="1" customWidth="1"/>
    <col min="2" max="2" width="33.421875" style="0" customWidth="1"/>
    <col min="3" max="3" width="5.28125" style="1" customWidth="1"/>
    <col min="4" max="4" width="10.00390625" style="4" customWidth="1"/>
    <col min="5" max="5" width="10.57421875" style="4" customWidth="1"/>
    <col min="6" max="6" width="10.00390625" style="4" customWidth="1"/>
    <col min="7" max="7" width="10.57421875" style="4" customWidth="1"/>
  </cols>
  <sheetData>
    <row r="1" spans="4:7" ht="12.75">
      <c r="D1" s="47" t="s">
        <v>37</v>
      </c>
      <c r="E1" s="47"/>
      <c r="F1" s="47" t="s">
        <v>38</v>
      </c>
      <c r="G1" s="47"/>
    </row>
    <row r="2" spans="3:7" ht="12.75">
      <c r="C2" s="2" t="s">
        <v>1</v>
      </c>
      <c r="D2" s="3" t="s">
        <v>3</v>
      </c>
      <c r="E2" s="3" t="s">
        <v>2</v>
      </c>
      <c r="F2" s="3" t="s">
        <v>3</v>
      </c>
      <c r="G2" s="3" t="s">
        <v>2</v>
      </c>
    </row>
    <row r="3" spans="1:2" ht="12.75">
      <c r="A3" s="1">
        <v>1</v>
      </c>
      <c r="B3" s="5" t="s">
        <v>14</v>
      </c>
    </row>
    <row r="4" spans="1:7" ht="12.75">
      <c r="A4" s="16"/>
      <c r="B4" t="s">
        <v>160</v>
      </c>
      <c r="C4" s="1">
        <v>1</v>
      </c>
      <c r="D4" s="4">
        <v>9.39</v>
      </c>
      <c r="E4" s="4">
        <f>$C4*D4</f>
        <v>9.39</v>
      </c>
      <c r="F4" s="4">
        <v>9.39</v>
      </c>
      <c r="G4" s="4">
        <f aca="true" t="shared" si="0" ref="G4:G13">$C4*F4</f>
        <v>9.39</v>
      </c>
    </row>
    <row r="5" spans="1:7" ht="12.75">
      <c r="A5" s="16"/>
      <c r="B5" t="s">
        <v>161</v>
      </c>
      <c r="C5" s="1">
        <v>3</v>
      </c>
      <c r="D5" s="4">
        <v>11.97</v>
      </c>
      <c r="E5" s="4">
        <f>$C5*D5</f>
        <v>35.910000000000004</v>
      </c>
      <c r="F5" s="4">
        <v>11.97</v>
      </c>
      <c r="G5" s="4">
        <f t="shared" si="0"/>
        <v>35.910000000000004</v>
      </c>
    </row>
    <row r="6" spans="1:7" ht="12.75">
      <c r="A6" s="16"/>
      <c r="B6" t="s">
        <v>28</v>
      </c>
      <c r="C6" s="1">
        <v>7</v>
      </c>
      <c r="D6" s="4">
        <v>11.97</v>
      </c>
      <c r="E6" s="4">
        <f aca="true" t="shared" si="1" ref="E6:E12">$C6*D6</f>
        <v>83.79</v>
      </c>
      <c r="F6" s="4">
        <v>11.97</v>
      </c>
      <c r="G6" s="4">
        <f t="shared" si="0"/>
        <v>83.79</v>
      </c>
    </row>
    <row r="7" spans="1:7" ht="12.75" hidden="1">
      <c r="A7" s="17"/>
      <c r="B7" t="s">
        <v>15</v>
      </c>
      <c r="C7" s="1">
        <v>0</v>
      </c>
      <c r="E7" s="4">
        <f t="shared" si="1"/>
        <v>0</v>
      </c>
      <c r="G7" s="4">
        <f t="shared" si="0"/>
        <v>0</v>
      </c>
    </row>
    <row r="8" spans="1:7" ht="12.75" hidden="1">
      <c r="A8" s="17"/>
      <c r="B8" t="s">
        <v>121</v>
      </c>
      <c r="C8" s="1">
        <v>22</v>
      </c>
      <c r="E8" s="4">
        <f t="shared" si="1"/>
        <v>0</v>
      </c>
      <c r="G8" s="4">
        <f t="shared" si="0"/>
        <v>0</v>
      </c>
    </row>
    <row r="9" spans="1:7" ht="12.75" hidden="1">
      <c r="A9" s="17"/>
      <c r="B9" t="s">
        <v>36</v>
      </c>
      <c r="C9" s="1">
        <f>C8</f>
        <v>22</v>
      </c>
      <c r="E9" s="4">
        <f t="shared" si="1"/>
        <v>0</v>
      </c>
      <c r="G9" s="4">
        <f t="shared" si="0"/>
        <v>0</v>
      </c>
    </row>
    <row r="10" spans="1:7" ht="12.75" hidden="1">
      <c r="A10" s="17"/>
      <c r="B10" t="s">
        <v>35</v>
      </c>
      <c r="C10" s="1">
        <f>C9*2</f>
        <v>44</v>
      </c>
      <c r="E10" s="4">
        <f t="shared" si="1"/>
        <v>0</v>
      </c>
      <c r="G10" s="4">
        <f t="shared" si="0"/>
        <v>0</v>
      </c>
    </row>
    <row r="11" spans="1:7" ht="12.75" hidden="1">
      <c r="A11" s="17"/>
      <c r="B11" t="s">
        <v>39</v>
      </c>
      <c r="C11" s="1">
        <f>C8</f>
        <v>22</v>
      </c>
      <c r="E11" s="4">
        <f t="shared" si="1"/>
        <v>0</v>
      </c>
      <c r="G11" s="4">
        <f t="shared" si="0"/>
        <v>0</v>
      </c>
    </row>
    <row r="12" spans="1:7" ht="12.75" hidden="1">
      <c r="A12" s="17"/>
      <c r="B12" t="s">
        <v>92</v>
      </c>
      <c r="C12" s="1">
        <v>42</v>
      </c>
      <c r="E12" s="4">
        <f t="shared" si="1"/>
        <v>0</v>
      </c>
      <c r="G12" s="4">
        <f t="shared" si="0"/>
        <v>0</v>
      </c>
    </row>
    <row r="13" spans="1:7" s="31" customFormat="1" ht="12.75" hidden="1">
      <c r="A13" s="30"/>
      <c r="B13" s="31" t="s">
        <v>32</v>
      </c>
      <c r="C13" s="32">
        <f>C12</f>
        <v>42</v>
      </c>
      <c r="D13" s="33"/>
      <c r="E13" s="33">
        <f>$C13*D13</f>
        <v>0</v>
      </c>
      <c r="F13" s="33"/>
      <c r="G13" s="33">
        <f t="shared" si="0"/>
        <v>0</v>
      </c>
    </row>
    <row r="14" spans="1:7" s="42" customFormat="1" ht="12.75">
      <c r="A14" s="40"/>
      <c r="B14" s="41" t="s">
        <v>13</v>
      </c>
      <c r="C14" s="40"/>
      <c r="D14" s="43"/>
      <c r="E14" s="43">
        <f>SUM(E4:E13)</f>
        <v>129.09</v>
      </c>
      <c r="F14" s="43"/>
      <c r="G14" s="43">
        <f>SUM(G4:G13)</f>
        <v>129.09</v>
      </c>
    </row>
    <row r="15" ht="12.75">
      <c r="B15" s="6"/>
    </row>
    <row r="16" spans="1:7" ht="12.75">
      <c r="A16" s="1">
        <v>1</v>
      </c>
      <c r="B16" s="5" t="s">
        <v>40</v>
      </c>
      <c r="C16" s="11"/>
      <c r="D16" s="12"/>
      <c r="E16" s="12"/>
      <c r="F16" s="12"/>
      <c r="G16" s="12"/>
    </row>
    <row r="17" spans="1:7" ht="12.75">
      <c r="A17" s="18"/>
      <c r="B17" s="10" t="s">
        <v>42</v>
      </c>
      <c r="C17" s="11">
        <v>1</v>
      </c>
      <c r="D17" s="12"/>
      <c r="E17" s="4">
        <f aca="true" t="shared" si="2" ref="E17:E23">$C17*D17</f>
        <v>0</v>
      </c>
      <c r="F17" s="12"/>
      <c r="G17" s="4">
        <f aca="true" t="shared" si="3" ref="G17:G23">$C17*F17</f>
        <v>0</v>
      </c>
    </row>
    <row r="18" spans="1:7" ht="12.75">
      <c r="A18" s="18"/>
      <c r="B18" s="10" t="s">
        <v>151</v>
      </c>
      <c r="C18" s="11">
        <f>Calculations!B53</f>
        <v>44</v>
      </c>
      <c r="D18" s="12">
        <v>3.08</v>
      </c>
      <c r="E18" s="4">
        <f t="shared" si="2"/>
        <v>135.52</v>
      </c>
      <c r="F18" s="12">
        <v>3.08</v>
      </c>
      <c r="G18" s="4">
        <f t="shared" si="3"/>
        <v>135.52</v>
      </c>
    </row>
    <row r="19" spans="1:7" ht="12.75">
      <c r="A19" s="18"/>
      <c r="B19" t="s">
        <v>58</v>
      </c>
      <c r="C19" s="11">
        <f>Calculations!B37</f>
        <v>0</v>
      </c>
      <c r="D19" s="12">
        <v>3.08</v>
      </c>
      <c r="E19" s="4">
        <f t="shared" si="2"/>
        <v>0</v>
      </c>
      <c r="F19" s="12">
        <v>3.08</v>
      </c>
      <c r="G19" s="4">
        <f t="shared" si="3"/>
        <v>0</v>
      </c>
    </row>
    <row r="20" spans="1:6" ht="12.75">
      <c r="A20" s="18"/>
      <c r="B20" t="s">
        <v>158</v>
      </c>
      <c r="C20" s="11">
        <f>3*5</f>
        <v>15</v>
      </c>
      <c r="D20" s="12">
        <v>0.97</v>
      </c>
      <c r="E20" s="4">
        <f t="shared" si="2"/>
        <v>14.549999999999999</v>
      </c>
      <c r="F20" s="12"/>
    </row>
    <row r="21" spans="1:7" ht="12.75">
      <c r="A21" s="18"/>
      <c r="B21" s="10" t="s">
        <v>60</v>
      </c>
      <c r="C21" s="11">
        <v>5</v>
      </c>
      <c r="D21" s="12">
        <v>2.19</v>
      </c>
      <c r="E21" s="4">
        <f t="shared" si="2"/>
        <v>10.95</v>
      </c>
      <c r="F21" s="12">
        <v>2.19</v>
      </c>
      <c r="G21" s="4">
        <f t="shared" si="3"/>
        <v>10.95</v>
      </c>
    </row>
    <row r="22" spans="1:7" ht="12.75">
      <c r="A22" s="18"/>
      <c r="B22" s="10" t="s">
        <v>61</v>
      </c>
      <c r="C22" s="11">
        <v>5</v>
      </c>
      <c r="D22" s="12">
        <v>0.25</v>
      </c>
      <c r="E22" s="4">
        <f t="shared" si="2"/>
        <v>1.25</v>
      </c>
      <c r="F22" s="12">
        <v>0.25</v>
      </c>
      <c r="G22" s="4">
        <f t="shared" si="3"/>
        <v>1.25</v>
      </c>
    </row>
    <row r="23" spans="1:7" s="31" customFormat="1" ht="12.75">
      <c r="A23" s="34"/>
      <c r="B23" s="13" t="s">
        <v>59</v>
      </c>
      <c r="C23" s="35">
        <v>5</v>
      </c>
      <c r="D23" s="36">
        <v>13.97</v>
      </c>
      <c r="E23" s="36">
        <f t="shared" si="2"/>
        <v>69.85000000000001</v>
      </c>
      <c r="F23" s="36">
        <v>15.97</v>
      </c>
      <c r="G23" s="36">
        <f t="shared" si="3"/>
        <v>79.85000000000001</v>
      </c>
    </row>
    <row r="24" spans="1:7" s="42" customFormat="1" ht="12.75">
      <c r="A24" s="40"/>
      <c r="B24" s="41" t="s">
        <v>13</v>
      </c>
      <c r="C24" s="40"/>
      <c r="D24" s="43"/>
      <c r="E24" s="43">
        <f>SUM(E17:E23)</f>
        <v>232.12</v>
      </c>
      <c r="F24" s="43"/>
      <c r="G24" s="43">
        <f>SUM(G17:G23)</f>
        <v>227.57</v>
      </c>
    </row>
    <row r="25" spans="2:7" ht="12.75">
      <c r="B25" s="10"/>
      <c r="C25" s="11"/>
      <c r="D25" s="12"/>
      <c r="E25" s="12"/>
      <c r="F25" s="12"/>
      <c r="G25" s="12"/>
    </row>
    <row r="26" spans="1:7" ht="12.75">
      <c r="A26" s="1">
        <v>2</v>
      </c>
      <c r="B26" s="5" t="s">
        <v>62</v>
      </c>
      <c r="C26" s="11"/>
      <c r="D26" s="12"/>
      <c r="E26" s="12"/>
      <c r="F26" s="12"/>
      <c r="G26" s="12"/>
    </row>
    <row r="27" spans="1:7" ht="12.75">
      <c r="A27" s="16"/>
      <c r="B27" s="10" t="s">
        <v>82</v>
      </c>
      <c r="C27" s="11">
        <v>0</v>
      </c>
      <c r="D27" s="12">
        <v>20.97</v>
      </c>
      <c r="E27" s="4">
        <f>$C27*D27</f>
        <v>0</v>
      </c>
      <c r="F27" s="12">
        <v>20.97</v>
      </c>
      <c r="G27" s="4">
        <f>$C27*F27</f>
        <v>0</v>
      </c>
    </row>
    <row r="28" spans="1:7" ht="12.75">
      <c r="A28" s="16"/>
      <c r="B28" s="10" t="s">
        <v>80</v>
      </c>
      <c r="C28" s="11">
        <v>5</v>
      </c>
      <c r="D28" s="12">
        <v>27.97</v>
      </c>
      <c r="E28" s="4">
        <f>$C28*D28</f>
        <v>139.85</v>
      </c>
      <c r="F28" s="12"/>
      <c r="G28" s="4">
        <f>$C28*F28</f>
        <v>0</v>
      </c>
    </row>
    <row r="29" spans="1:7" ht="12.75">
      <c r="A29" s="16"/>
      <c r="B29" s="10" t="s">
        <v>81</v>
      </c>
      <c r="C29" s="11">
        <v>0</v>
      </c>
      <c r="D29" s="12">
        <v>0</v>
      </c>
      <c r="E29" s="4">
        <f>$C29*D29</f>
        <v>0</v>
      </c>
      <c r="F29" s="12">
        <v>33.97</v>
      </c>
      <c r="G29" s="4">
        <f>5*F29</f>
        <v>169.85</v>
      </c>
    </row>
    <row r="30" spans="1:7" s="31" customFormat="1" ht="12.75">
      <c r="A30" s="30"/>
      <c r="B30" s="13" t="s">
        <v>63</v>
      </c>
      <c r="C30" s="35">
        <v>40</v>
      </c>
      <c r="D30" s="36">
        <f>2.55/40</f>
        <v>0.06375</v>
      </c>
      <c r="E30" s="36">
        <f>$C30*D30</f>
        <v>2.55</v>
      </c>
      <c r="F30" s="36">
        <f>2.55/40</f>
        <v>0.06375</v>
      </c>
      <c r="G30" s="36">
        <f>$C30*F30</f>
        <v>2.55</v>
      </c>
    </row>
    <row r="31" spans="1:7" s="42" customFormat="1" ht="12.75">
      <c r="A31" s="40"/>
      <c r="B31" s="41" t="s">
        <v>13</v>
      </c>
      <c r="C31" s="40"/>
      <c r="D31" s="43"/>
      <c r="E31" s="43">
        <f>SUM(E27:E30)</f>
        <v>142.4</v>
      </c>
      <c r="F31" s="43"/>
      <c r="G31" s="43">
        <f>SUM(G27:G30)</f>
        <v>172.4</v>
      </c>
    </row>
    <row r="32" spans="2:7" ht="12.75">
      <c r="B32" s="10"/>
      <c r="C32" s="11"/>
      <c r="D32" s="12"/>
      <c r="E32" s="12"/>
      <c r="F32" s="12"/>
      <c r="G32" s="12"/>
    </row>
    <row r="33" spans="1:7" ht="12.75">
      <c r="A33" s="1">
        <v>2</v>
      </c>
      <c r="B33" s="5" t="s">
        <v>64</v>
      </c>
      <c r="C33" s="11"/>
      <c r="D33" s="12"/>
      <c r="E33" s="12"/>
      <c r="F33" s="12"/>
      <c r="G33" s="12"/>
    </row>
    <row r="34" spans="1:7" ht="12.75">
      <c r="A34" s="16"/>
      <c r="B34" s="10" t="s">
        <v>65</v>
      </c>
      <c r="C34" s="11">
        <v>4</v>
      </c>
      <c r="D34" s="12">
        <v>11.97</v>
      </c>
      <c r="E34" s="4">
        <f>$C34*D34</f>
        <v>47.88</v>
      </c>
      <c r="F34" s="12">
        <v>11.97</v>
      </c>
      <c r="G34" s="4">
        <f>$C34*F34</f>
        <v>47.88</v>
      </c>
    </row>
    <row r="35" spans="1:7" ht="12.75">
      <c r="A35" s="16"/>
      <c r="B35" s="10" t="s">
        <v>159</v>
      </c>
      <c r="C35" s="11">
        <v>4</v>
      </c>
      <c r="D35" s="12">
        <v>18.97</v>
      </c>
      <c r="E35" s="4">
        <f>$C35*D35</f>
        <v>75.88</v>
      </c>
      <c r="F35" s="12">
        <v>18.97</v>
      </c>
      <c r="G35" s="4">
        <f>$C35*F35</f>
        <v>75.88</v>
      </c>
    </row>
    <row r="36" spans="1:7" ht="12.75" hidden="1">
      <c r="A36" s="17"/>
      <c r="B36" s="10" t="s">
        <v>67</v>
      </c>
      <c r="C36" s="11">
        <v>16</v>
      </c>
      <c r="D36" s="12"/>
      <c r="E36" s="4">
        <f>$C36*D36</f>
        <v>0</v>
      </c>
      <c r="F36" s="12"/>
      <c r="G36" s="4">
        <f>$C36*F36</f>
        <v>0</v>
      </c>
    </row>
    <row r="37" spans="1:7" ht="12.75" hidden="1">
      <c r="A37" s="17"/>
      <c r="B37" s="10" t="s">
        <v>36</v>
      </c>
      <c r="C37" s="11">
        <f>C36</f>
        <v>16</v>
      </c>
      <c r="D37" s="12"/>
      <c r="E37" s="4">
        <f>$C37*D37</f>
        <v>0</v>
      </c>
      <c r="F37" s="12"/>
      <c r="G37" s="4">
        <f>$C37*F37</f>
        <v>0</v>
      </c>
    </row>
    <row r="38" spans="1:7" s="31" customFormat="1" ht="12.75" hidden="1">
      <c r="A38" s="30"/>
      <c r="B38" s="13" t="s">
        <v>35</v>
      </c>
      <c r="C38" s="35">
        <f>C37*2</f>
        <v>32</v>
      </c>
      <c r="D38" s="36"/>
      <c r="E38" s="33">
        <f>$C38*D38</f>
        <v>0</v>
      </c>
      <c r="F38" s="36"/>
      <c r="G38" s="33">
        <f>$C38*F38</f>
        <v>0</v>
      </c>
    </row>
    <row r="39" spans="1:7" s="42" customFormat="1" ht="12.75">
      <c r="A39" s="40"/>
      <c r="B39" s="41" t="s">
        <v>13</v>
      </c>
      <c r="C39" s="40"/>
      <c r="D39" s="43"/>
      <c r="E39" s="43">
        <f>SUM(E34:E38)</f>
        <v>123.75999999999999</v>
      </c>
      <c r="F39" s="43"/>
      <c r="G39" s="43">
        <f>SUM(G34:G38)</f>
        <v>123.75999999999999</v>
      </c>
    </row>
    <row r="40" spans="2:7" ht="12.75">
      <c r="B40" s="10"/>
      <c r="C40" s="11"/>
      <c r="D40" s="12"/>
      <c r="E40" s="12"/>
      <c r="F40" s="12"/>
      <c r="G40" s="12"/>
    </row>
    <row r="41" spans="1:7" ht="12.75" hidden="1">
      <c r="A41" s="1">
        <v>3</v>
      </c>
      <c r="B41" s="5" t="s">
        <v>88</v>
      </c>
      <c r="C41" s="11"/>
      <c r="D41" s="12"/>
      <c r="E41" s="12"/>
      <c r="F41" s="12"/>
      <c r="G41" s="12"/>
    </row>
    <row r="42" spans="1:7" ht="12.75" hidden="1">
      <c r="A42" s="16"/>
      <c r="B42" s="10" t="s">
        <v>69</v>
      </c>
      <c r="C42" s="11">
        <v>0</v>
      </c>
      <c r="D42" s="12"/>
      <c r="E42" s="4">
        <f aca="true" t="shared" si="4" ref="E42:E47">$C42*D42</f>
        <v>0</v>
      </c>
      <c r="F42" s="12"/>
      <c r="G42" s="4">
        <f aca="true" t="shared" si="5" ref="G42:G47">$C42*F42</f>
        <v>0</v>
      </c>
    </row>
    <row r="43" spans="1:7" ht="12.75" hidden="1">
      <c r="A43" s="17"/>
      <c r="B43" s="10" t="s">
        <v>70</v>
      </c>
      <c r="C43" s="11">
        <f>Calculations!B23</f>
        <v>8</v>
      </c>
      <c r="D43" s="12"/>
      <c r="E43" s="4">
        <f t="shared" si="4"/>
        <v>0</v>
      </c>
      <c r="F43" s="12"/>
      <c r="G43" s="4">
        <f t="shared" si="5"/>
        <v>0</v>
      </c>
    </row>
    <row r="44" spans="1:7" ht="12.75" hidden="1">
      <c r="A44" s="17"/>
      <c r="B44" s="10" t="s">
        <v>89</v>
      </c>
      <c r="C44" s="11">
        <v>3</v>
      </c>
      <c r="D44" s="12"/>
      <c r="E44" s="4">
        <f t="shared" si="4"/>
        <v>0</v>
      </c>
      <c r="F44" s="12"/>
      <c r="G44" s="4">
        <f t="shared" si="5"/>
        <v>0</v>
      </c>
    </row>
    <row r="45" spans="1:7" ht="12.75" hidden="1">
      <c r="A45" s="17"/>
      <c r="B45" s="10" t="s">
        <v>90</v>
      </c>
      <c r="C45" s="11">
        <v>2</v>
      </c>
      <c r="D45" s="12"/>
      <c r="E45" s="4">
        <f t="shared" si="4"/>
        <v>0</v>
      </c>
      <c r="F45" s="12"/>
      <c r="G45" s="4">
        <f t="shared" si="5"/>
        <v>0</v>
      </c>
    </row>
    <row r="46" spans="1:7" ht="12.75" hidden="1">
      <c r="A46" s="17"/>
      <c r="B46" s="10" t="s">
        <v>36</v>
      </c>
      <c r="C46" s="11">
        <f>SUM(C43:C45)</f>
        <v>13</v>
      </c>
      <c r="D46" s="12"/>
      <c r="E46" s="4">
        <f t="shared" si="4"/>
        <v>0</v>
      </c>
      <c r="F46" s="12"/>
      <c r="G46" s="4">
        <f t="shared" si="5"/>
        <v>0</v>
      </c>
    </row>
    <row r="47" spans="1:7" s="31" customFormat="1" ht="12.75" hidden="1">
      <c r="A47" s="30"/>
      <c r="B47" s="13" t="s">
        <v>35</v>
      </c>
      <c r="C47" s="35">
        <f>C46*2</f>
        <v>26</v>
      </c>
      <c r="D47" s="36"/>
      <c r="E47" s="33">
        <f t="shared" si="4"/>
        <v>0</v>
      </c>
      <c r="F47" s="36"/>
      <c r="G47" s="33">
        <f t="shared" si="5"/>
        <v>0</v>
      </c>
    </row>
    <row r="48" spans="1:7" s="42" customFormat="1" ht="12.75" hidden="1">
      <c r="A48" s="40"/>
      <c r="B48" s="41" t="s">
        <v>13</v>
      </c>
      <c r="C48" s="40"/>
      <c r="D48" s="43"/>
      <c r="E48" s="43">
        <f>SUM(E42:E47)</f>
        <v>0</v>
      </c>
      <c r="F48" s="43"/>
      <c r="G48" s="43">
        <f>SUM(G42:G47)</f>
        <v>0</v>
      </c>
    </row>
    <row r="49" ht="12.75" hidden="1">
      <c r="B49" s="10"/>
    </row>
    <row r="50" spans="1:7" ht="12.75" hidden="1">
      <c r="A50" s="1">
        <v>3</v>
      </c>
      <c r="B50" s="5" t="s">
        <v>68</v>
      </c>
      <c r="C50" s="11"/>
      <c r="D50" s="12"/>
      <c r="E50" s="12"/>
      <c r="F50" s="12"/>
      <c r="G50" s="12"/>
    </row>
    <row r="51" spans="1:7" ht="12.75" hidden="1">
      <c r="A51" s="16"/>
      <c r="B51" s="10" t="s">
        <v>69</v>
      </c>
      <c r="C51" s="11">
        <v>0</v>
      </c>
      <c r="D51" s="12"/>
      <c r="E51" s="4">
        <f>$C51*D51</f>
        <v>0</v>
      </c>
      <c r="F51" s="12"/>
      <c r="G51" s="4">
        <f>$C51*F51</f>
        <v>0</v>
      </c>
    </row>
    <row r="52" spans="1:7" ht="12.75" hidden="1">
      <c r="A52" s="17"/>
      <c r="B52" s="10" t="s">
        <v>70</v>
      </c>
      <c r="C52" s="11">
        <f>Calculations!B13*2</f>
        <v>12</v>
      </c>
      <c r="D52" s="12"/>
      <c r="E52" s="4">
        <f>$C52*D52</f>
        <v>0</v>
      </c>
      <c r="F52" s="12"/>
      <c r="G52" s="4">
        <f>$C52*F52</f>
        <v>0</v>
      </c>
    </row>
    <row r="53" spans="1:7" ht="12.75" hidden="1">
      <c r="A53" s="17"/>
      <c r="B53" s="10" t="s">
        <v>36</v>
      </c>
      <c r="C53" s="11">
        <f>C52</f>
        <v>12</v>
      </c>
      <c r="D53" s="12"/>
      <c r="E53" s="4">
        <f>$C53*D53</f>
        <v>0</v>
      </c>
      <c r="F53" s="12"/>
      <c r="G53" s="4">
        <f>$C53*F53</f>
        <v>0</v>
      </c>
    </row>
    <row r="54" spans="1:7" s="31" customFormat="1" ht="12.75" hidden="1">
      <c r="A54" s="30"/>
      <c r="B54" s="13" t="s">
        <v>35</v>
      </c>
      <c r="C54" s="35">
        <f>C53*2</f>
        <v>24</v>
      </c>
      <c r="D54" s="36"/>
      <c r="E54" s="33">
        <f>$C54*D54</f>
        <v>0</v>
      </c>
      <c r="F54" s="36"/>
      <c r="G54" s="33">
        <f>$C54*F54</f>
        <v>0</v>
      </c>
    </row>
    <row r="55" spans="1:7" s="42" customFormat="1" ht="12.75" hidden="1">
      <c r="A55" s="40"/>
      <c r="B55" s="41" t="s">
        <v>13</v>
      </c>
      <c r="C55" s="40"/>
      <c r="D55" s="43"/>
      <c r="E55" s="43">
        <f>SUM(E51:E54)</f>
        <v>0</v>
      </c>
      <c r="F55" s="43"/>
      <c r="G55" s="43">
        <f>SUM(G51:G54)</f>
        <v>0</v>
      </c>
    </row>
    <row r="56" spans="2:7" ht="12.75" hidden="1">
      <c r="B56" s="13"/>
      <c r="C56" s="11"/>
      <c r="D56" s="12"/>
      <c r="E56" s="12"/>
      <c r="F56" s="12"/>
      <c r="G56" s="12"/>
    </row>
    <row r="57" spans="1:7" ht="12.75">
      <c r="A57" s="1">
        <v>4</v>
      </c>
      <c r="B57" s="15" t="s">
        <v>71</v>
      </c>
      <c r="C57" s="11"/>
      <c r="D57" s="12"/>
      <c r="E57" s="12"/>
      <c r="F57" s="12"/>
      <c r="G57" s="12"/>
    </row>
    <row r="58" spans="1:7" ht="12.75">
      <c r="A58" s="16"/>
      <c r="B58" s="14" t="s">
        <v>72</v>
      </c>
      <c r="C58" s="11">
        <v>20</v>
      </c>
      <c r="D58" s="12">
        <v>18.97</v>
      </c>
      <c r="E58" s="4">
        <f>$C58*D58</f>
        <v>379.4</v>
      </c>
      <c r="F58" s="4">
        <v>18.97</v>
      </c>
      <c r="G58" s="4">
        <f aca="true" t="shared" si="6" ref="G58:G65">$C58*F58</f>
        <v>379.4</v>
      </c>
    </row>
    <row r="59" spans="1:7" ht="12.75" hidden="1">
      <c r="A59" s="17"/>
      <c r="B59" t="s">
        <v>66</v>
      </c>
      <c r="C59" s="11">
        <v>18</v>
      </c>
      <c r="D59" s="12"/>
      <c r="E59" s="4">
        <f aca="true" t="shared" si="7" ref="E59:E64">$C59*D59</f>
        <v>0</v>
      </c>
      <c r="G59" s="4">
        <f t="shared" si="6"/>
        <v>0</v>
      </c>
    </row>
    <row r="60" spans="1:7" ht="12.75" hidden="1">
      <c r="A60" s="17"/>
      <c r="B60" t="s">
        <v>36</v>
      </c>
      <c r="C60" s="11">
        <f>C59</f>
        <v>18</v>
      </c>
      <c r="D60" s="12"/>
      <c r="E60" s="4">
        <f t="shared" si="7"/>
        <v>0</v>
      </c>
      <c r="G60" s="4">
        <f t="shared" si="6"/>
        <v>0</v>
      </c>
    </row>
    <row r="61" spans="1:7" ht="12.75" hidden="1">
      <c r="A61" s="17"/>
      <c r="B61" t="s">
        <v>35</v>
      </c>
      <c r="C61" s="11">
        <f>C60*2</f>
        <v>36</v>
      </c>
      <c r="D61" s="12"/>
      <c r="E61" s="4">
        <f t="shared" si="7"/>
        <v>0</v>
      </c>
      <c r="G61" s="4">
        <f t="shared" si="6"/>
        <v>0</v>
      </c>
    </row>
    <row r="62" spans="1:7" ht="12.75" hidden="1">
      <c r="A62" s="17"/>
      <c r="B62" t="s">
        <v>73</v>
      </c>
      <c r="C62" s="11">
        <v>18</v>
      </c>
      <c r="D62" s="12"/>
      <c r="E62" s="4">
        <f t="shared" si="7"/>
        <v>0</v>
      </c>
      <c r="G62" s="4">
        <f t="shared" si="6"/>
        <v>0</v>
      </c>
    </row>
    <row r="63" spans="1:7" ht="12.75" hidden="1">
      <c r="A63" s="17"/>
      <c r="B63" t="s">
        <v>34</v>
      </c>
      <c r="C63" s="11">
        <v>8</v>
      </c>
      <c r="D63" s="12"/>
      <c r="E63" s="4">
        <f t="shared" si="7"/>
        <v>0</v>
      </c>
      <c r="G63" s="4">
        <f t="shared" si="6"/>
        <v>0</v>
      </c>
    </row>
    <row r="64" spans="1:7" ht="12.75" hidden="1">
      <c r="A64" s="17"/>
      <c r="B64" t="s">
        <v>36</v>
      </c>
      <c r="C64" s="11">
        <f>C62+C63</f>
        <v>26</v>
      </c>
      <c r="D64" s="12"/>
      <c r="E64" s="4">
        <f t="shared" si="7"/>
        <v>0</v>
      </c>
      <c r="G64" s="4">
        <f t="shared" si="6"/>
        <v>0</v>
      </c>
    </row>
    <row r="65" spans="1:7" s="31" customFormat="1" ht="12.75" hidden="1">
      <c r="A65" s="30"/>
      <c r="B65" s="31" t="s">
        <v>35</v>
      </c>
      <c r="C65" s="35">
        <f>C64*2</f>
        <v>52</v>
      </c>
      <c r="D65" s="36"/>
      <c r="E65" s="33">
        <f>$C65*D65</f>
        <v>0</v>
      </c>
      <c r="F65" s="33"/>
      <c r="G65" s="33">
        <f t="shared" si="6"/>
        <v>0</v>
      </c>
    </row>
    <row r="66" spans="1:7" s="42" customFormat="1" ht="12.75">
      <c r="A66" s="40"/>
      <c r="B66" s="41" t="s">
        <v>13</v>
      </c>
      <c r="C66" s="44"/>
      <c r="D66" s="45"/>
      <c r="E66" s="43">
        <f>SUM(E56:E65)</f>
        <v>379.4</v>
      </c>
      <c r="F66" s="43"/>
      <c r="G66" s="43">
        <f>SUM(G56:G65)</f>
        <v>379.4</v>
      </c>
    </row>
    <row r="67" spans="2:4" ht="12.75">
      <c r="B67" s="13"/>
      <c r="C67" s="11"/>
      <c r="D67" s="12"/>
    </row>
    <row r="68" spans="1:7" ht="12.75">
      <c r="A68" s="1">
        <v>5</v>
      </c>
      <c r="B68" s="5" t="s">
        <v>22</v>
      </c>
      <c r="C68" s="11"/>
      <c r="D68" s="12"/>
      <c r="E68" s="12"/>
      <c r="F68" s="12"/>
      <c r="G68" s="12"/>
    </row>
    <row r="69" spans="1:7" ht="12.75">
      <c r="A69" s="16"/>
      <c r="B69" s="10" t="s">
        <v>69</v>
      </c>
      <c r="C69" s="11">
        <v>0</v>
      </c>
      <c r="D69" s="12"/>
      <c r="E69" s="4">
        <f>$C69*D69</f>
        <v>0</v>
      </c>
      <c r="F69" s="12"/>
      <c r="G69" s="4">
        <f>$C69*F69</f>
        <v>0</v>
      </c>
    </row>
    <row r="70" spans="1:7" ht="12.75" hidden="1">
      <c r="A70" s="17"/>
      <c r="B70" s="10" t="s">
        <v>74</v>
      </c>
      <c r="C70" s="11">
        <f>Calculations!B18*2</f>
        <v>54</v>
      </c>
      <c r="D70" s="12"/>
      <c r="E70" s="4">
        <f>$C70*D70</f>
        <v>0</v>
      </c>
      <c r="F70" s="12"/>
      <c r="G70" s="4">
        <f>$C70*F70</f>
        <v>0</v>
      </c>
    </row>
    <row r="71" spans="1:7" ht="12.75" hidden="1">
      <c r="A71" s="17"/>
      <c r="B71" s="10" t="s">
        <v>36</v>
      </c>
      <c r="C71" s="11">
        <f>C70</f>
        <v>54</v>
      </c>
      <c r="D71" s="12"/>
      <c r="E71" s="4">
        <f>$C71*D71</f>
        <v>0</v>
      </c>
      <c r="F71" s="12"/>
      <c r="G71" s="4">
        <f>$C71*F71</f>
        <v>0</v>
      </c>
    </row>
    <row r="72" spans="1:7" s="31" customFormat="1" ht="12.75" hidden="1">
      <c r="A72" s="30"/>
      <c r="B72" s="13" t="s">
        <v>35</v>
      </c>
      <c r="C72" s="35">
        <f>C71*2</f>
        <v>108</v>
      </c>
      <c r="D72" s="36"/>
      <c r="E72" s="33">
        <f>$C72*D72</f>
        <v>0</v>
      </c>
      <c r="F72" s="36"/>
      <c r="G72" s="33">
        <f>$C72*F72</f>
        <v>0</v>
      </c>
    </row>
    <row r="73" spans="1:7" s="42" customFormat="1" ht="12.75">
      <c r="A73" s="40"/>
      <c r="B73" s="41" t="s">
        <v>13</v>
      </c>
      <c r="C73" s="40"/>
      <c r="D73" s="43"/>
      <c r="E73" s="43">
        <f>SUM(E69:E72)</f>
        <v>0</v>
      </c>
      <c r="F73" s="43"/>
      <c r="G73" s="43">
        <f>SUM(G69:G72)</f>
        <v>0</v>
      </c>
    </row>
    <row r="74" spans="2:4" ht="12.75">
      <c r="B74" s="13"/>
      <c r="C74" s="11"/>
      <c r="D74" s="12"/>
    </row>
    <row r="75" spans="1:4" ht="12.75">
      <c r="A75" s="1">
        <v>6</v>
      </c>
      <c r="B75" s="15" t="s">
        <v>78</v>
      </c>
      <c r="C75" s="11"/>
      <c r="D75" s="12"/>
    </row>
    <row r="76" spans="1:7" ht="12.75">
      <c r="A76" s="16"/>
      <c r="B76" s="14" t="s">
        <v>75</v>
      </c>
      <c r="C76" s="11">
        <f>Calculations!B60</f>
        <v>20</v>
      </c>
      <c r="D76" s="12">
        <v>2.39</v>
      </c>
      <c r="E76" s="4">
        <f>$C76*D76</f>
        <v>47.800000000000004</v>
      </c>
      <c r="F76" s="4">
        <v>2.29</v>
      </c>
      <c r="G76" s="4">
        <f>$C76*F76</f>
        <v>45.8</v>
      </c>
    </row>
    <row r="77" spans="1:7" ht="12.75">
      <c r="A77" s="16"/>
      <c r="B77" s="14" t="s">
        <v>76</v>
      </c>
      <c r="C77" s="11">
        <f>Calculations!B67</f>
        <v>25</v>
      </c>
      <c r="D77" s="12">
        <v>3.49</v>
      </c>
      <c r="E77" s="4">
        <f>$C77*D77</f>
        <v>87.25</v>
      </c>
      <c r="F77" s="4">
        <v>3.49</v>
      </c>
      <c r="G77" s="4">
        <f>$C77*F77</f>
        <v>87.25</v>
      </c>
    </row>
    <row r="78" spans="1:7" ht="12.75">
      <c r="A78" s="16"/>
      <c r="B78" s="14" t="s">
        <v>77</v>
      </c>
      <c r="C78" s="11">
        <v>0</v>
      </c>
      <c r="D78" s="12">
        <v>5.97</v>
      </c>
      <c r="E78" s="4">
        <f>$C78*D78</f>
        <v>0</v>
      </c>
      <c r="F78" s="4">
        <v>5.97</v>
      </c>
      <c r="G78" s="4">
        <f>$C78*F78</f>
        <v>0</v>
      </c>
    </row>
    <row r="79" spans="1:7" s="31" customFormat="1" ht="12.75">
      <c r="A79" s="30"/>
      <c r="B79" s="14" t="s">
        <v>79</v>
      </c>
      <c r="C79" s="35">
        <v>0</v>
      </c>
      <c r="D79" s="36"/>
      <c r="E79" s="33">
        <f>$C79*D79</f>
        <v>0</v>
      </c>
      <c r="F79" s="33"/>
      <c r="G79" s="33">
        <f>$C79*F79</f>
        <v>0</v>
      </c>
    </row>
    <row r="80" spans="1:7" s="42" customFormat="1" ht="12.75">
      <c r="A80" s="40"/>
      <c r="B80" s="41" t="s">
        <v>13</v>
      </c>
      <c r="C80" s="40"/>
      <c r="D80" s="43"/>
      <c r="E80" s="43">
        <f>SUM(E76:E79)</f>
        <v>135.05</v>
      </c>
      <c r="F80" s="43"/>
      <c r="G80" s="43">
        <f>SUM(G76:G79)</f>
        <v>133.05</v>
      </c>
    </row>
    <row r="81" ht="12.75">
      <c r="B81" s="10"/>
    </row>
    <row r="82" spans="1:2" ht="12.75">
      <c r="A82" s="1">
        <v>7</v>
      </c>
      <c r="B82" s="5" t="s">
        <v>0</v>
      </c>
    </row>
    <row r="83" spans="1:7" ht="12.75">
      <c r="A83" s="19"/>
      <c r="B83" t="s">
        <v>41</v>
      </c>
      <c r="C83" s="1">
        <v>36</v>
      </c>
      <c r="D83" s="4">
        <v>16.97</v>
      </c>
      <c r="E83" s="4">
        <f aca="true" t="shared" si="8" ref="E83:E88">C83*D83</f>
        <v>610.92</v>
      </c>
      <c r="F83" s="4">
        <v>15.94</v>
      </c>
      <c r="G83" s="4">
        <f>C83*F83</f>
        <v>573.84</v>
      </c>
    </row>
    <row r="84" spans="1:7" ht="12.75">
      <c r="A84" s="19"/>
      <c r="B84" t="s">
        <v>91</v>
      </c>
      <c r="C84" s="1">
        <v>9</v>
      </c>
      <c r="E84" s="4">
        <f t="shared" si="8"/>
        <v>0</v>
      </c>
      <c r="G84" s="4">
        <f>C84*F84</f>
        <v>0</v>
      </c>
    </row>
    <row r="85" spans="1:5" ht="12.75">
      <c r="A85" s="19"/>
      <c r="B85" t="s">
        <v>157</v>
      </c>
      <c r="C85" s="1">
        <v>4</v>
      </c>
      <c r="D85" s="4">
        <v>4.98</v>
      </c>
      <c r="E85" s="4">
        <f t="shared" si="8"/>
        <v>19.92</v>
      </c>
    </row>
    <row r="86" spans="1:7" ht="12.75">
      <c r="A86" s="19"/>
      <c r="B86" t="s">
        <v>5</v>
      </c>
      <c r="C86" s="1">
        <f>9*12</f>
        <v>108</v>
      </c>
      <c r="D86" s="4">
        <f>6.99/5</f>
        <v>1.3980000000000001</v>
      </c>
      <c r="E86" s="4">
        <f t="shared" si="8"/>
        <v>150.984</v>
      </c>
      <c r="F86" s="4">
        <f>5.42/5</f>
        <v>1.084</v>
      </c>
      <c r="G86" s="4">
        <f>C86*F86</f>
        <v>117.072</v>
      </c>
    </row>
    <row r="87" spans="1:7" ht="12.75">
      <c r="A87" s="19"/>
      <c r="B87" t="s">
        <v>4</v>
      </c>
      <c r="C87" s="1">
        <v>9</v>
      </c>
      <c r="E87" s="4">
        <f t="shared" si="8"/>
        <v>0</v>
      </c>
      <c r="G87" s="4">
        <f>C87*F87</f>
        <v>0</v>
      </c>
    </row>
    <row r="88" spans="1:7" s="31" customFormat="1" ht="12.75">
      <c r="A88" s="37"/>
      <c r="B88" s="31" t="s">
        <v>12</v>
      </c>
      <c r="C88" s="32">
        <f>ROUND(Calculations!B4/50,0)</f>
        <v>12</v>
      </c>
      <c r="D88" s="33">
        <v>5.19</v>
      </c>
      <c r="E88" s="33">
        <f t="shared" si="8"/>
        <v>62.28</v>
      </c>
      <c r="F88" s="33">
        <v>5.19</v>
      </c>
      <c r="G88" s="33">
        <f>C88*F88</f>
        <v>62.28</v>
      </c>
    </row>
    <row r="89" spans="1:7" s="42" customFormat="1" ht="12.75">
      <c r="A89" s="40"/>
      <c r="B89" s="41" t="s">
        <v>13</v>
      </c>
      <c r="C89" s="40"/>
      <c r="D89" s="43"/>
      <c r="E89" s="43">
        <f>SUM(E83:E88)</f>
        <v>844.1039999999999</v>
      </c>
      <c r="F89" s="43"/>
      <c r="G89" s="43">
        <f>SUM(G83:G88)</f>
        <v>753.192</v>
      </c>
    </row>
    <row r="91" spans="2:7" ht="12.75">
      <c r="B91" s="5" t="s">
        <v>141</v>
      </c>
      <c r="C91" s="2" t="s">
        <v>126</v>
      </c>
      <c r="D91" s="3" t="s">
        <v>149</v>
      </c>
      <c r="E91" s="3" t="s">
        <v>146</v>
      </c>
      <c r="F91" s="3" t="s">
        <v>147</v>
      </c>
      <c r="G91" s="3" t="s">
        <v>148</v>
      </c>
    </row>
    <row r="92" spans="1:7" ht="12.75">
      <c r="A92" s="17"/>
      <c r="B92" s="27" t="str">
        <f>'Machine Bolts'!E17</f>
        <v>3/8</v>
      </c>
      <c r="C92">
        <f>'Machine Bolts'!F17</f>
        <v>6</v>
      </c>
      <c r="D92">
        <f>'Machine Bolts'!G17</f>
        <v>8</v>
      </c>
      <c r="E92">
        <f>D92+D93</f>
        <v>92</v>
      </c>
      <c r="F92" s="29">
        <f>2*E92</f>
        <v>184</v>
      </c>
      <c r="G92" s="4">
        <f>'Machine Bolts'!H17</f>
        <v>14.64</v>
      </c>
    </row>
    <row r="93" spans="1:7" ht="12.75">
      <c r="A93" s="17"/>
      <c r="B93" s="27" t="str">
        <f>'Machine Bolts'!E18</f>
        <v>3/8</v>
      </c>
      <c r="C93">
        <f>'Machine Bolts'!F18</f>
        <v>8</v>
      </c>
      <c r="D93">
        <f>'Machine Bolts'!G18</f>
        <v>84</v>
      </c>
      <c r="E93"/>
      <c r="F93" s="29"/>
      <c r="G93" s="4">
        <f>'Machine Bolts'!H18</f>
        <v>163.79999999999998</v>
      </c>
    </row>
    <row r="94" spans="1:7" ht="12.75">
      <c r="A94" s="17"/>
      <c r="B94" s="27" t="str">
        <f>'Machine Bolts'!E19</f>
        <v>1/2 C</v>
      </c>
      <c r="C94">
        <f>'Machine Bolts'!F19</f>
        <v>5</v>
      </c>
      <c r="D94">
        <f>'Machine Bolts'!G19</f>
        <v>22</v>
      </c>
      <c r="G94" s="4">
        <f>'Machine Bolts'!H19</f>
        <v>52.80000000000001</v>
      </c>
    </row>
    <row r="95" spans="1:7" ht="12.75">
      <c r="A95" s="17"/>
      <c r="B95" s="27" t="str">
        <f>'Machine Bolts'!E20</f>
        <v>1/2</v>
      </c>
      <c r="C95">
        <f>'Machine Bolts'!F20</f>
        <v>6</v>
      </c>
      <c r="D95">
        <f>'Machine Bolts'!G20</f>
        <v>2</v>
      </c>
      <c r="E95">
        <f>D94+D95+D96</f>
        <v>53</v>
      </c>
      <c r="F95" s="29">
        <f>D94+2*D95+2*D96</f>
        <v>84</v>
      </c>
      <c r="G95" s="4">
        <f>'Machine Bolts'!H20</f>
        <v>5.300000000000001</v>
      </c>
    </row>
    <row r="96" spans="1:7" ht="12.75">
      <c r="A96" s="17"/>
      <c r="B96" s="27" t="str">
        <f>'Machine Bolts'!E21</f>
        <v>1/2</v>
      </c>
      <c r="C96">
        <f>'Machine Bolts'!F21</f>
        <v>8</v>
      </c>
      <c r="D96">
        <f>'Machine Bolts'!G21</f>
        <v>29</v>
      </c>
      <c r="E96"/>
      <c r="F96" s="29"/>
      <c r="G96" s="4">
        <f>'Machine Bolts'!H21</f>
        <v>86.71000000000001</v>
      </c>
    </row>
    <row r="97" spans="1:7" s="31" customFormat="1" ht="12.75">
      <c r="A97" s="30"/>
      <c r="B97" s="38" t="str">
        <f>'Machine Bolts'!E22</f>
        <v>5/8</v>
      </c>
      <c r="C97" s="31">
        <f>'Machine Bolts'!F22</f>
        <v>8</v>
      </c>
      <c r="D97" s="31">
        <f>'Machine Bolts'!G22</f>
        <v>16</v>
      </c>
      <c r="E97" s="31">
        <f>D97</f>
        <v>16</v>
      </c>
      <c r="F97" s="39">
        <f>2*E97</f>
        <v>32</v>
      </c>
      <c r="G97" s="33">
        <f>'Machine Bolts'!H22</f>
        <v>65.28</v>
      </c>
    </row>
    <row r="98" spans="1:7" s="42" customFormat="1" ht="12.75">
      <c r="A98" s="40"/>
      <c r="B98" s="41" t="s">
        <v>13</v>
      </c>
      <c r="C98" s="40"/>
      <c r="D98" s="42">
        <f>SUM(D92:D97)</f>
        <v>161</v>
      </c>
      <c r="E98" s="42">
        <f>SUM(E92:E97)</f>
        <v>161</v>
      </c>
      <c r="F98" s="42">
        <f>SUM(F92:F97)</f>
        <v>300</v>
      </c>
      <c r="G98" s="43">
        <f>SUM(G92:G97)</f>
        <v>388.53</v>
      </c>
    </row>
    <row r="101" spans="2:7" ht="12.75">
      <c r="B101" s="5" t="s">
        <v>150</v>
      </c>
      <c r="E101" s="4">
        <f>SUM(E14,E24,E31,E39,E48,E55,E66,E73,E80,E89,G98)</f>
        <v>2374.4539999999997</v>
      </c>
      <c r="G101" s="4">
        <f>SUM(G14,G24,G31,G39,G48,G55,G66,G73,G80,G89,G98)</f>
        <v>2306.9919999999997</v>
      </c>
    </row>
    <row r="104" spans="2:5" ht="12.75">
      <c r="B104" t="s">
        <v>156</v>
      </c>
      <c r="C104" s="1">
        <v>4</v>
      </c>
      <c r="D104" s="4">
        <v>6.97</v>
      </c>
      <c r="E104" s="4">
        <f>C104*D104</f>
        <v>27.88</v>
      </c>
    </row>
  </sheetData>
  <mergeCells count="2">
    <mergeCell ref="D1:E1"/>
    <mergeCell ref="F1:G1"/>
  </mergeCells>
  <printOptions horizontalCentered="1"/>
  <pageMargins left="0.75" right="0.75" top="1" bottom="0.5" header="0.5" footer="0.5"/>
  <pageSetup horizontalDpi="600" verticalDpi="600" orientation="portrait" r:id="rId1"/>
  <headerFooter alignWithMargins="0">
    <oddHeader>&amp;C&amp;F  (&amp;A)</oddHeader>
    <oddFooter>&amp;CPage &amp;P of &amp;N</oddFooter>
  </headerFooter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K35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9.421875" style="0" customWidth="1"/>
    <col min="3" max="3" width="13.57421875" style="0" customWidth="1"/>
    <col min="4" max="4" width="28.8515625" style="0" customWidth="1"/>
    <col min="5" max="5" width="5.7109375" style="1" customWidth="1"/>
    <col min="6" max="7" width="6.28125" style="0" customWidth="1"/>
    <col min="8" max="8" width="8.7109375" style="4" customWidth="1"/>
    <col min="9" max="9" width="35.57421875" style="0" customWidth="1"/>
    <col min="10" max="10" width="3.140625" style="0" customWidth="1"/>
  </cols>
  <sheetData>
    <row r="3" spans="1:10" s="1" customFormat="1" ht="12.75">
      <c r="A3" s="23" t="s">
        <v>99</v>
      </c>
      <c r="B3" s="2" t="s">
        <v>100</v>
      </c>
      <c r="C3" s="2" t="s">
        <v>122</v>
      </c>
      <c r="D3" s="2" t="s">
        <v>125</v>
      </c>
      <c r="E3" s="2" t="s">
        <v>96</v>
      </c>
      <c r="F3" s="2" t="s">
        <v>126</v>
      </c>
      <c r="G3" s="2" t="s">
        <v>127</v>
      </c>
      <c r="H3" s="3" t="s">
        <v>124</v>
      </c>
      <c r="I3" s="2" t="s">
        <v>93</v>
      </c>
      <c r="J3" s="23" t="s">
        <v>136</v>
      </c>
    </row>
    <row r="4" spans="1:11" s="1" customFormat="1" ht="12.75">
      <c r="A4" t="s">
        <v>14</v>
      </c>
      <c r="B4" t="s">
        <v>171</v>
      </c>
      <c r="C4" t="s">
        <v>172</v>
      </c>
      <c r="D4"/>
      <c r="E4" s="21" t="s">
        <v>130</v>
      </c>
      <c r="F4" s="5">
        <v>5</v>
      </c>
      <c r="G4">
        <v>30</v>
      </c>
      <c r="H4" s="4"/>
      <c r="I4" t="s">
        <v>173</v>
      </c>
      <c r="J4" s="27">
        <v>3</v>
      </c>
      <c r="K4"/>
    </row>
    <row r="5" spans="1:11" ht="12.75">
      <c r="A5" t="s">
        <v>14</v>
      </c>
      <c r="B5" t="s">
        <v>97</v>
      </c>
      <c r="C5" t="s">
        <v>123</v>
      </c>
      <c r="D5" t="s">
        <v>129</v>
      </c>
      <c r="E5" s="21" t="s">
        <v>130</v>
      </c>
      <c r="F5" s="5">
        <v>5</v>
      </c>
      <c r="G5">
        <f>'Bill of Materials'!C8</f>
        <v>22</v>
      </c>
      <c r="H5" s="4">
        <f>G5*(E$30+E$27+F$27)</f>
        <v>52.80000000000001</v>
      </c>
      <c r="I5" t="s">
        <v>134</v>
      </c>
      <c r="J5" s="27">
        <v>3</v>
      </c>
      <c r="K5" t="s">
        <v>94</v>
      </c>
    </row>
    <row r="6" spans="1:11" ht="12.75">
      <c r="A6" t="s">
        <v>64</v>
      </c>
      <c r="B6" t="s">
        <v>98</v>
      </c>
      <c r="C6" t="s">
        <v>135</v>
      </c>
      <c r="D6" t="s">
        <v>139</v>
      </c>
      <c r="E6" s="22" t="s">
        <v>132</v>
      </c>
      <c r="F6" s="5">
        <v>8</v>
      </c>
      <c r="G6">
        <f>'Bill of Materials'!C36</f>
        <v>16</v>
      </c>
      <c r="H6" s="4">
        <f>G6*(H28+E28+2*F28)</f>
        <v>65.28</v>
      </c>
      <c r="I6" t="s">
        <v>95</v>
      </c>
      <c r="J6">
        <v>4</v>
      </c>
      <c r="K6" t="s">
        <v>101</v>
      </c>
    </row>
    <row r="7" spans="1:11" ht="12.75">
      <c r="A7" t="s">
        <v>102</v>
      </c>
      <c r="B7" t="s">
        <v>98</v>
      </c>
      <c r="C7" t="s">
        <v>135</v>
      </c>
      <c r="D7" t="s">
        <v>139</v>
      </c>
      <c r="E7" s="21" t="s">
        <v>130</v>
      </c>
      <c r="F7" s="5">
        <v>8</v>
      </c>
      <c r="G7">
        <f>'Bill of Materials'!C43</f>
        <v>8</v>
      </c>
      <c r="H7" s="4">
        <f>G7*(H27+E27+2*F27)</f>
        <v>23.92</v>
      </c>
      <c r="I7" t="s">
        <v>103</v>
      </c>
      <c r="J7">
        <v>2</v>
      </c>
      <c r="K7" t="s">
        <v>109</v>
      </c>
    </row>
    <row r="8" spans="1:11" ht="12.75">
      <c r="A8" t="s">
        <v>105</v>
      </c>
      <c r="B8" t="s">
        <v>98</v>
      </c>
      <c r="C8" t="s">
        <v>123</v>
      </c>
      <c r="D8" t="s">
        <v>133</v>
      </c>
      <c r="E8" s="20" t="s">
        <v>130</v>
      </c>
      <c r="F8" s="10">
        <v>6</v>
      </c>
      <c r="G8">
        <f>'Bill of Materials'!C45</f>
        <v>2</v>
      </c>
      <c r="H8" s="4">
        <f>G8*(G27+E27+2*F27)</f>
        <v>5.300000000000001</v>
      </c>
      <c r="I8" t="s">
        <v>104</v>
      </c>
      <c r="J8">
        <v>2</v>
      </c>
      <c r="K8" t="s">
        <v>109</v>
      </c>
    </row>
    <row r="9" spans="1:11" ht="12.75">
      <c r="A9" t="s">
        <v>106</v>
      </c>
      <c r="B9" t="s">
        <v>98</v>
      </c>
      <c r="C9" t="s">
        <v>123</v>
      </c>
      <c r="D9" t="s">
        <v>128</v>
      </c>
      <c r="E9" s="21" t="s">
        <v>130</v>
      </c>
      <c r="F9">
        <v>8</v>
      </c>
      <c r="G9">
        <f>'Bill of Materials'!C44</f>
        <v>3</v>
      </c>
      <c r="H9" s="4">
        <f>G9*(H27+E27+2*F27)</f>
        <v>8.97</v>
      </c>
      <c r="I9" t="s">
        <v>107</v>
      </c>
      <c r="J9">
        <v>2</v>
      </c>
      <c r="K9" t="s">
        <v>109</v>
      </c>
    </row>
    <row r="10" spans="1:11" ht="12.75">
      <c r="A10" t="s">
        <v>111</v>
      </c>
      <c r="B10" t="s">
        <v>98</v>
      </c>
      <c r="C10" t="s">
        <v>135</v>
      </c>
      <c r="D10" t="s">
        <v>139</v>
      </c>
      <c r="E10" s="21" t="s">
        <v>131</v>
      </c>
      <c r="F10">
        <v>8</v>
      </c>
      <c r="G10">
        <f>'Bill of Materials'!C52</f>
        <v>12</v>
      </c>
      <c r="H10" s="4">
        <f>G10*(H26+E26+2*F26)</f>
        <v>23.4</v>
      </c>
      <c r="I10" t="s">
        <v>112</v>
      </c>
      <c r="J10">
        <v>1</v>
      </c>
      <c r="K10" t="s">
        <v>113</v>
      </c>
    </row>
    <row r="11" spans="1:11" ht="12.75">
      <c r="A11" t="s">
        <v>115</v>
      </c>
      <c r="B11" t="s">
        <v>98</v>
      </c>
      <c r="C11" t="s">
        <v>135</v>
      </c>
      <c r="D11" t="s">
        <v>139</v>
      </c>
      <c r="E11" s="21" t="s">
        <v>130</v>
      </c>
      <c r="F11">
        <v>8</v>
      </c>
      <c r="G11">
        <f>'Bill of Materials'!C59</f>
        <v>18</v>
      </c>
      <c r="H11" s="4">
        <f>G11*(H$27+E$27+2*F$27)</f>
        <v>53.82000000000001</v>
      </c>
      <c r="I11" t="s">
        <v>116</v>
      </c>
      <c r="J11">
        <v>3</v>
      </c>
      <c r="K11" t="s">
        <v>94</v>
      </c>
    </row>
    <row r="12" spans="1:11" ht="12.75">
      <c r="A12" t="s">
        <v>117</v>
      </c>
      <c r="B12" t="s">
        <v>98</v>
      </c>
      <c r="C12" t="s">
        <v>135</v>
      </c>
      <c r="D12" t="s">
        <v>139</v>
      </c>
      <c r="E12" s="21" t="s">
        <v>131</v>
      </c>
      <c r="F12">
        <v>8</v>
      </c>
      <c r="G12">
        <f>'Bill of Materials'!C62</f>
        <v>18</v>
      </c>
      <c r="H12" s="4">
        <f>G12*(H26+E26+2*F26)</f>
        <v>35.1</v>
      </c>
      <c r="I12" t="s">
        <v>118</v>
      </c>
      <c r="J12">
        <v>1</v>
      </c>
      <c r="K12" t="s">
        <v>113</v>
      </c>
    </row>
    <row r="13" spans="1:11" ht="12.75">
      <c r="A13" t="s">
        <v>119</v>
      </c>
      <c r="B13" t="s">
        <v>98</v>
      </c>
      <c r="C13" t="s">
        <v>135</v>
      </c>
      <c r="D13" t="s">
        <v>140</v>
      </c>
      <c r="E13" s="21" t="s">
        <v>131</v>
      </c>
      <c r="F13">
        <v>6</v>
      </c>
      <c r="G13">
        <f>'Bill of Materials'!C63</f>
        <v>8</v>
      </c>
      <c r="H13" s="4">
        <f>G13*(G26+E26+2*F26)</f>
        <v>14.64</v>
      </c>
      <c r="I13" t="s">
        <v>120</v>
      </c>
      <c r="J13">
        <v>1</v>
      </c>
      <c r="K13" t="s">
        <v>113</v>
      </c>
    </row>
    <row r="14" spans="1:11" ht="12.75">
      <c r="A14" t="s">
        <v>114</v>
      </c>
      <c r="B14" t="s">
        <v>98</v>
      </c>
      <c r="C14" t="s">
        <v>135</v>
      </c>
      <c r="D14" t="s">
        <v>139</v>
      </c>
      <c r="E14" s="22" t="s">
        <v>131</v>
      </c>
      <c r="F14" s="5">
        <v>8</v>
      </c>
      <c r="G14">
        <f>'Bill of Materials'!C70</f>
        <v>54</v>
      </c>
      <c r="H14" s="4">
        <f>G14*(H$26+E$26+2*F$26)</f>
        <v>105.3</v>
      </c>
      <c r="I14" t="s">
        <v>108</v>
      </c>
      <c r="J14">
        <v>1</v>
      </c>
      <c r="K14" t="s">
        <v>110</v>
      </c>
    </row>
    <row r="15" spans="7:8" ht="12.75">
      <c r="G15">
        <f>SUM(G5:G14)</f>
        <v>161</v>
      </c>
      <c r="H15" s="4">
        <f>SUM(H5:H14)</f>
        <v>388.53000000000003</v>
      </c>
    </row>
    <row r="17" spans="5:8" ht="12.75">
      <c r="E17" s="21" t="s">
        <v>131</v>
      </c>
      <c r="F17">
        <v>6</v>
      </c>
      <c r="G17">
        <f>SUM(G13)</f>
        <v>8</v>
      </c>
      <c r="H17" s="4">
        <f>G17*(G$26+E$26+2*F$26)</f>
        <v>14.64</v>
      </c>
    </row>
    <row r="18" spans="5:8" ht="12.75">
      <c r="E18" s="21" t="s">
        <v>131</v>
      </c>
      <c r="F18">
        <v>8</v>
      </c>
      <c r="G18">
        <f>SUM(G14,G12,G10)</f>
        <v>84</v>
      </c>
      <c r="H18" s="4">
        <f>G18*(H$26+E$26+2*F$26)</f>
        <v>163.79999999999998</v>
      </c>
    </row>
    <row r="19" spans="5:8" ht="12.75">
      <c r="E19" s="21" t="s">
        <v>145</v>
      </c>
      <c r="F19">
        <v>5</v>
      </c>
      <c r="G19">
        <f>G5</f>
        <v>22</v>
      </c>
      <c r="H19" s="4">
        <f>G19*(E$30+E$27+F$27)</f>
        <v>52.80000000000001</v>
      </c>
    </row>
    <row r="20" spans="5:8" ht="12.75">
      <c r="E20" s="21" t="s">
        <v>130</v>
      </c>
      <c r="F20">
        <v>6</v>
      </c>
      <c r="G20">
        <f>SUM(G8)</f>
        <v>2</v>
      </c>
      <c r="H20" s="4">
        <f>G20*(G$27+E$27+2*F$27)</f>
        <v>5.300000000000001</v>
      </c>
    </row>
    <row r="21" spans="5:8" ht="12.75">
      <c r="E21" s="21" t="s">
        <v>130</v>
      </c>
      <c r="F21">
        <v>8</v>
      </c>
      <c r="G21">
        <f>SUM(G11,G9,G7)</f>
        <v>29</v>
      </c>
      <c r="H21" s="4">
        <f>G21*(H$27+E$27+2*F$27)</f>
        <v>86.71000000000001</v>
      </c>
    </row>
    <row r="22" spans="5:8" ht="12.75">
      <c r="E22" s="28" t="s">
        <v>132</v>
      </c>
      <c r="F22" s="7">
        <v>8</v>
      </c>
      <c r="G22" s="7">
        <f>SUM(G6)</f>
        <v>16</v>
      </c>
      <c r="H22" s="8">
        <f>G22*(H$28+E$28+2*F$28)</f>
        <v>65.28</v>
      </c>
    </row>
    <row r="23" spans="5:8" ht="12.75">
      <c r="E23" s="21"/>
      <c r="G23">
        <f>SUM(G17:G22)</f>
        <v>161</v>
      </c>
      <c r="H23" s="4">
        <f>SUM(H17:H22)</f>
        <v>388.53</v>
      </c>
    </row>
    <row r="25" spans="5:8" ht="12.75">
      <c r="E25" s="2" t="s">
        <v>137</v>
      </c>
      <c r="F25" s="2" t="s">
        <v>138</v>
      </c>
      <c r="G25" s="2" t="s">
        <v>142</v>
      </c>
      <c r="H25" s="3" t="s">
        <v>143</v>
      </c>
    </row>
    <row r="26" spans="4:8" ht="12.75">
      <c r="D26" s="25" t="s">
        <v>131</v>
      </c>
      <c r="E26" s="24">
        <v>0.17</v>
      </c>
      <c r="F26" s="24">
        <v>0.15</v>
      </c>
      <c r="G26" s="24">
        <v>1.36</v>
      </c>
      <c r="H26" s="4">
        <v>1.48</v>
      </c>
    </row>
    <row r="27" spans="4:8" ht="12.75">
      <c r="D27" s="25" t="s">
        <v>130</v>
      </c>
      <c r="E27" s="4">
        <v>0.28</v>
      </c>
      <c r="F27" s="24">
        <v>0.25</v>
      </c>
      <c r="G27" s="24">
        <v>1.87</v>
      </c>
      <c r="H27" s="4">
        <v>2.21</v>
      </c>
    </row>
    <row r="28" spans="4:8" ht="12.75">
      <c r="D28" s="26" t="s">
        <v>132</v>
      </c>
      <c r="E28" s="4">
        <v>0.48</v>
      </c>
      <c r="F28" s="4">
        <v>0.41</v>
      </c>
      <c r="G28" s="4"/>
      <c r="H28" s="4">
        <v>2.78</v>
      </c>
    </row>
    <row r="30" spans="4:7" ht="12.75">
      <c r="D30" s="27" t="s">
        <v>144</v>
      </c>
      <c r="E30" s="4">
        <v>1.87</v>
      </c>
      <c r="F30">
        <v>22</v>
      </c>
      <c r="G30" s="4">
        <f>E30*F30</f>
        <v>41.14</v>
      </c>
    </row>
    <row r="31" spans="5:7" ht="12.75">
      <c r="E31" s="4">
        <v>1.68</v>
      </c>
      <c r="F31">
        <v>25</v>
      </c>
      <c r="G31" s="4">
        <f>E31*F31</f>
        <v>42</v>
      </c>
    </row>
    <row r="33" spans="4:7" ht="12.75">
      <c r="D33" s="27" t="s">
        <v>162</v>
      </c>
      <c r="E33" s="21" t="s">
        <v>131</v>
      </c>
      <c r="F33" s="21" t="s">
        <v>130</v>
      </c>
      <c r="G33" s="21" t="s">
        <v>132</v>
      </c>
    </row>
    <row r="34" spans="4:7" ht="12.75">
      <c r="D34" s="27" t="s">
        <v>163</v>
      </c>
      <c r="F34" s="46">
        <v>1.375</v>
      </c>
      <c r="G34" s="46">
        <v>1.75</v>
      </c>
    </row>
    <row r="35" spans="4:7" ht="12.75">
      <c r="D35" s="27" t="s">
        <v>164</v>
      </c>
      <c r="E35" s="21" t="s">
        <v>165</v>
      </c>
      <c r="F35" s="21" t="s">
        <v>165</v>
      </c>
      <c r="G35" s="21" t="s">
        <v>165</v>
      </c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&amp;C&amp;F  (&amp;A)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pane ySplit="2" topLeftCell="BM3" activePane="bottomLeft" state="frozen"/>
      <selection pane="topLeft" activeCell="A1" sqref="A1"/>
      <selection pane="bottomLeft" activeCell="A92" sqref="A92"/>
    </sheetView>
  </sheetViews>
  <sheetFormatPr defaultColWidth="9.140625" defaultRowHeight="12.75"/>
  <cols>
    <col min="1" max="1" width="3.140625" style="1" customWidth="1"/>
    <col min="2" max="2" width="24.8515625" style="0" customWidth="1"/>
    <col min="3" max="3" width="5.28125" style="1" customWidth="1"/>
    <col min="4" max="4" width="10.00390625" style="4" customWidth="1"/>
    <col min="5" max="5" width="10.57421875" style="4" customWidth="1"/>
    <col min="6" max="6" width="10.00390625" style="4" customWidth="1"/>
    <col min="7" max="7" width="10.57421875" style="4" customWidth="1"/>
  </cols>
  <sheetData>
    <row r="1" spans="4:7" ht="12.75">
      <c r="D1" s="47" t="s">
        <v>37</v>
      </c>
      <c r="E1" s="47"/>
      <c r="F1" s="47"/>
      <c r="G1" s="47"/>
    </row>
    <row r="2" spans="3:7" ht="12.75">
      <c r="C2" s="2" t="s">
        <v>1</v>
      </c>
      <c r="D2" s="3" t="s">
        <v>3</v>
      </c>
      <c r="E2" s="3" t="s">
        <v>2</v>
      </c>
      <c r="F2" s="3"/>
      <c r="G2" s="3"/>
    </row>
    <row r="3" spans="1:2" ht="12.75" hidden="1">
      <c r="A3" s="1">
        <v>1</v>
      </c>
      <c r="B3" s="5" t="s">
        <v>14</v>
      </c>
    </row>
    <row r="4" spans="1:5" ht="12.75" hidden="1">
      <c r="A4" s="16"/>
      <c r="B4" t="s">
        <v>160</v>
      </c>
      <c r="C4" s="1">
        <v>0</v>
      </c>
      <c r="D4" s="4">
        <v>9.39</v>
      </c>
      <c r="E4" s="4">
        <f aca="true" t="shared" si="0" ref="E4:E13">$C4*D4</f>
        <v>0</v>
      </c>
    </row>
    <row r="5" spans="1:5" ht="12.75" hidden="1">
      <c r="A5" s="16"/>
      <c r="B5" t="s">
        <v>161</v>
      </c>
      <c r="C5" s="1">
        <v>0</v>
      </c>
      <c r="D5" s="4">
        <v>11.97</v>
      </c>
      <c r="E5" s="4">
        <f t="shared" si="0"/>
        <v>0</v>
      </c>
    </row>
    <row r="6" spans="1:5" ht="12.75" hidden="1">
      <c r="A6" s="16"/>
      <c r="B6" t="s">
        <v>28</v>
      </c>
      <c r="C6" s="1">
        <v>0</v>
      </c>
      <c r="D6" s="4">
        <v>11.97</v>
      </c>
      <c r="E6" s="4">
        <f t="shared" si="0"/>
        <v>0</v>
      </c>
    </row>
    <row r="7" spans="1:5" ht="12.75" hidden="1">
      <c r="A7" s="17"/>
      <c r="B7" t="s">
        <v>15</v>
      </c>
      <c r="C7" s="1">
        <v>0</v>
      </c>
      <c r="E7" s="4">
        <f t="shared" si="0"/>
        <v>0</v>
      </c>
    </row>
    <row r="8" spans="1:5" ht="12.75" hidden="1">
      <c r="A8" s="17"/>
      <c r="B8" t="s">
        <v>121</v>
      </c>
      <c r="C8" s="1">
        <v>22</v>
      </c>
      <c r="E8" s="4">
        <f t="shared" si="0"/>
        <v>0</v>
      </c>
    </row>
    <row r="9" spans="1:5" ht="12.75" hidden="1">
      <c r="A9" s="17"/>
      <c r="B9" t="s">
        <v>36</v>
      </c>
      <c r="C9" s="1">
        <f>C8</f>
        <v>22</v>
      </c>
      <c r="E9" s="4">
        <f t="shared" si="0"/>
        <v>0</v>
      </c>
    </row>
    <row r="10" spans="1:5" ht="12.75" hidden="1">
      <c r="A10" s="17"/>
      <c r="B10" t="s">
        <v>35</v>
      </c>
      <c r="C10" s="1">
        <f>C9*2</f>
        <v>44</v>
      </c>
      <c r="E10" s="4">
        <f t="shared" si="0"/>
        <v>0</v>
      </c>
    </row>
    <row r="11" spans="1:5" ht="12.75" hidden="1">
      <c r="A11" s="17"/>
      <c r="B11" t="s">
        <v>39</v>
      </c>
      <c r="C11" s="1">
        <f>C8</f>
        <v>22</v>
      </c>
      <c r="E11" s="4">
        <f t="shared" si="0"/>
        <v>0</v>
      </c>
    </row>
    <row r="12" spans="1:5" ht="12.75" hidden="1">
      <c r="A12" s="17"/>
      <c r="B12" t="s">
        <v>92</v>
      </c>
      <c r="C12" s="1">
        <v>42</v>
      </c>
      <c r="E12" s="4">
        <f t="shared" si="0"/>
        <v>0</v>
      </c>
    </row>
    <row r="13" spans="1:7" s="31" customFormat="1" ht="12.75" hidden="1">
      <c r="A13" s="30"/>
      <c r="B13" s="31" t="s">
        <v>32</v>
      </c>
      <c r="C13" s="32">
        <f>C12</f>
        <v>42</v>
      </c>
      <c r="D13" s="33"/>
      <c r="E13" s="33">
        <f t="shared" si="0"/>
        <v>0</v>
      </c>
      <c r="F13" s="33"/>
      <c r="G13" s="33"/>
    </row>
    <row r="14" spans="1:7" s="42" customFormat="1" ht="12.75" hidden="1">
      <c r="A14" s="40"/>
      <c r="B14" s="41" t="s">
        <v>13</v>
      </c>
      <c r="C14" s="40"/>
      <c r="D14" s="43"/>
      <c r="E14" s="43">
        <f>SUM(E4:E13)</f>
        <v>0</v>
      </c>
      <c r="F14" s="43"/>
      <c r="G14" s="43"/>
    </row>
    <row r="15" ht="12.75" hidden="1">
      <c r="B15" s="6"/>
    </row>
    <row r="16" spans="1:7" ht="12.75">
      <c r="A16" s="1">
        <v>1</v>
      </c>
      <c r="B16" s="5" t="s">
        <v>40</v>
      </c>
      <c r="C16" s="11"/>
      <c r="D16" s="12"/>
      <c r="E16" s="12"/>
      <c r="F16" s="12"/>
      <c r="G16" s="12"/>
    </row>
    <row r="17" spans="1:6" ht="12.75" hidden="1">
      <c r="A17" s="18"/>
      <c r="B17" s="10" t="s">
        <v>42</v>
      </c>
      <c r="C17" s="11">
        <v>0</v>
      </c>
      <c r="D17" s="12"/>
      <c r="E17" s="4">
        <f aca="true" t="shared" si="1" ref="E17:E25">$C17*D17</f>
        <v>0</v>
      </c>
      <c r="F17" s="12"/>
    </row>
    <row r="18" spans="1:6" ht="12.75">
      <c r="A18" s="18"/>
      <c r="B18" s="10" t="s">
        <v>169</v>
      </c>
      <c r="C18" s="11">
        <v>1</v>
      </c>
      <c r="D18" s="12">
        <v>30</v>
      </c>
      <c r="E18" s="4">
        <f t="shared" si="1"/>
        <v>30</v>
      </c>
      <c r="F18" s="12"/>
    </row>
    <row r="19" spans="1:6" ht="12.75">
      <c r="A19" s="18"/>
      <c r="B19" s="10" t="s">
        <v>175</v>
      </c>
      <c r="C19" s="11">
        <v>1</v>
      </c>
      <c r="D19" s="12">
        <v>20</v>
      </c>
      <c r="E19" s="4">
        <f t="shared" si="1"/>
        <v>20</v>
      </c>
      <c r="F19" s="12"/>
    </row>
    <row r="20" spans="1:6" ht="12.75">
      <c r="A20" s="18"/>
      <c r="B20" s="10" t="s">
        <v>151</v>
      </c>
      <c r="C20" s="11">
        <f>Calculations!B53</f>
        <v>44</v>
      </c>
      <c r="D20" s="12">
        <v>3.08</v>
      </c>
      <c r="E20" s="4">
        <f t="shared" si="1"/>
        <v>135.52</v>
      </c>
      <c r="F20" s="12"/>
    </row>
    <row r="21" spans="1:6" ht="12.75" hidden="1">
      <c r="A21" s="18"/>
      <c r="B21" t="s">
        <v>58</v>
      </c>
      <c r="C21" s="11">
        <f>Calculations!B37</f>
        <v>0</v>
      </c>
      <c r="D21" s="12">
        <v>3.08</v>
      </c>
      <c r="E21" s="4">
        <f t="shared" si="1"/>
        <v>0</v>
      </c>
      <c r="F21" s="12"/>
    </row>
    <row r="22" spans="1:6" ht="12.75">
      <c r="A22" s="18"/>
      <c r="B22" t="s">
        <v>158</v>
      </c>
      <c r="C22" s="11">
        <f>3*5</f>
        <v>15</v>
      </c>
      <c r="D22" s="12">
        <v>0.97</v>
      </c>
      <c r="E22" s="4">
        <f t="shared" si="1"/>
        <v>14.549999999999999</v>
      </c>
      <c r="F22" s="12"/>
    </row>
    <row r="23" spans="1:6" ht="12.75" hidden="1">
      <c r="A23" s="18"/>
      <c r="B23" s="10" t="s">
        <v>60</v>
      </c>
      <c r="C23" s="11">
        <v>0</v>
      </c>
      <c r="D23" s="12">
        <v>2.19</v>
      </c>
      <c r="E23" s="4">
        <f t="shared" si="1"/>
        <v>0</v>
      </c>
      <c r="F23" s="12"/>
    </row>
    <row r="24" spans="1:6" ht="12.75" hidden="1">
      <c r="A24" s="18"/>
      <c r="B24" s="10" t="s">
        <v>61</v>
      </c>
      <c r="C24" s="11">
        <v>0</v>
      </c>
      <c r="D24" s="12">
        <v>0.25</v>
      </c>
      <c r="E24" s="4">
        <f t="shared" si="1"/>
        <v>0</v>
      </c>
      <c r="F24" s="12"/>
    </row>
    <row r="25" spans="1:7" s="31" customFormat="1" ht="12.75" hidden="1">
      <c r="A25" s="34"/>
      <c r="B25" s="13" t="s">
        <v>59</v>
      </c>
      <c r="C25" s="35">
        <v>0</v>
      </c>
      <c r="D25" s="36">
        <v>13.97</v>
      </c>
      <c r="E25" s="36">
        <f t="shared" si="1"/>
        <v>0</v>
      </c>
      <c r="F25" s="36"/>
      <c r="G25" s="36"/>
    </row>
    <row r="26" spans="1:7" s="42" customFormat="1" ht="12.75">
      <c r="A26" s="40"/>
      <c r="B26" s="41" t="s">
        <v>13</v>
      </c>
      <c r="C26" s="40"/>
      <c r="D26" s="43"/>
      <c r="E26" s="43">
        <f>SUM(E17:E25)</f>
        <v>200.07000000000002</v>
      </c>
      <c r="F26" s="43"/>
      <c r="G26" s="43"/>
    </row>
    <row r="27" spans="2:7" ht="12.75">
      <c r="B27" s="10"/>
      <c r="C27" s="11"/>
      <c r="D27" s="12"/>
      <c r="E27" s="12"/>
      <c r="F27" s="12"/>
      <c r="G27" s="12"/>
    </row>
    <row r="28" spans="1:7" ht="12.75">
      <c r="A28" s="1">
        <v>2</v>
      </c>
      <c r="B28" s="5" t="s">
        <v>62</v>
      </c>
      <c r="C28" s="11"/>
      <c r="D28" s="12"/>
      <c r="E28" s="12"/>
      <c r="F28" s="12"/>
      <c r="G28" s="12"/>
    </row>
    <row r="29" spans="1:6" ht="12.75" hidden="1">
      <c r="A29" s="16"/>
      <c r="B29" s="10" t="s">
        <v>82</v>
      </c>
      <c r="C29" s="11">
        <v>0</v>
      </c>
      <c r="D29" s="12">
        <v>20.97</v>
      </c>
      <c r="E29" s="4">
        <f>$C29*D29</f>
        <v>0</v>
      </c>
      <c r="F29" s="12"/>
    </row>
    <row r="30" spans="1:6" ht="12.75">
      <c r="A30" s="16"/>
      <c r="B30" s="10" t="s">
        <v>80</v>
      </c>
      <c r="C30" s="11">
        <v>5</v>
      </c>
      <c r="D30" s="12">
        <v>27.97</v>
      </c>
      <c r="E30" s="4">
        <f>$C30*D30</f>
        <v>139.85</v>
      </c>
      <c r="F30" s="12"/>
    </row>
    <row r="31" spans="1:6" ht="12.75" hidden="1">
      <c r="A31" s="16"/>
      <c r="B31" s="10" t="s">
        <v>81</v>
      </c>
      <c r="C31" s="11">
        <v>0</v>
      </c>
      <c r="D31" s="12">
        <v>0</v>
      </c>
      <c r="E31" s="4">
        <f>$C31*D31</f>
        <v>0</v>
      </c>
      <c r="F31" s="12"/>
    </row>
    <row r="32" spans="1:7" s="31" customFormat="1" ht="12.75" hidden="1">
      <c r="A32" s="30"/>
      <c r="B32" s="13" t="s">
        <v>63</v>
      </c>
      <c r="C32" s="35">
        <v>0</v>
      </c>
      <c r="D32" s="36">
        <f>2.55/40</f>
        <v>0.06375</v>
      </c>
      <c r="E32" s="36">
        <f>$C32*D32</f>
        <v>0</v>
      </c>
      <c r="F32" s="36"/>
      <c r="G32" s="36"/>
    </row>
    <row r="33" spans="1:7" s="42" customFormat="1" ht="12.75">
      <c r="A33" s="40"/>
      <c r="B33" s="41" t="s">
        <v>13</v>
      </c>
      <c r="C33" s="40"/>
      <c r="D33" s="43"/>
      <c r="E33" s="43">
        <f>SUM(E29:E32)</f>
        <v>139.85</v>
      </c>
      <c r="F33" s="43"/>
      <c r="G33" s="43"/>
    </row>
    <row r="34" spans="2:7" ht="12.75">
      <c r="B34" s="10"/>
      <c r="C34" s="11"/>
      <c r="D34" s="12"/>
      <c r="E34" s="12"/>
      <c r="F34" s="12"/>
      <c r="G34" s="12"/>
    </row>
    <row r="35" spans="1:7" ht="12.75">
      <c r="A35" s="1">
        <v>2</v>
      </c>
      <c r="B35" s="5" t="s">
        <v>64</v>
      </c>
      <c r="C35" s="11"/>
      <c r="D35" s="12"/>
      <c r="E35" s="12"/>
      <c r="F35" s="12"/>
      <c r="G35" s="12"/>
    </row>
    <row r="36" spans="1:6" ht="12.75">
      <c r="A36" s="16"/>
      <c r="B36" s="10" t="s">
        <v>65</v>
      </c>
      <c r="C36" s="11">
        <v>4</v>
      </c>
      <c r="D36" s="12">
        <v>11.97</v>
      </c>
      <c r="E36" s="4">
        <f>$C36*D36</f>
        <v>47.88</v>
      </c>
      <c r="F36" s="12"/>
    </row>
    <row r="37" spans="1:6" ht="12.75">
      <c r="A37" s="16"/>
      <c r="B37" s="10" t="s">
        <v>159</v>
      </c>
      <c r="C37" s="11">
        <v>4</v>
      </c>
      <c r="D37" s="12">
        <v>18.97</v>
      </c>
      <c r="E37" s="4">
        <f>$C37*D37</f>
        <v>75.88</v>
      </c>
      <c r="F37" s="12"/>
    </row>
    <row r="38" spans="1:6" ht="12.75" hidden="1">
      <c r="A38" s="17"/>
      <c r="B38" s="10" t="s">
        <v>67</v>
      </c>
      <c r="C38" s="11">
        <v>16</v>
      </c>
      <c r="D38" s="12"/>
      <c r="E38" s="4">
        <f>$C38*D38</f>
        <v>0</v>
      </c>
      <c r="F38" s="12"/>
    </row>
    <row r="39" spans="1:6" ht="12.75" hidden="1">
      <c r="A39" s="17"/>
      <c r="B39" s="10" t="s">
        <v>36</v>
      </c>
      <c r="C39" s="11">
        <f>C38</f>
        <v>16</v>
      </c>
      <c r="D39" s="12"/>
      <c r="E39" s="4">
        <f>$C39*D39</f>
        <v>0</v>
      </c>
      <c r="F39" s="12"/>
    </row>
    <row r="40" spans="1:7" s="31" customFormat="1" ht="12.75" hidden="1">
      <c r="A40" s="30"/>
      <c r="B40" s="13" t="s">
        <v>35</v>
      </c>
      <c r="C40" s="35">
        <f>C39*2</f>
        <v>32</v>
      </c>
      <c r="D40" s="36"/>
      <c r="E40" s="33">
        <f>$C40*D40</f>
        <v>0</v>
      </c>
      <c r="F40" s="36"/>
      <c r="G40" s="33"/>
    </row>
    <row r="41" spans="1:7" s="42" customFormat="1" ht="12.75">
      <c r="A41" s="40"/>
      <c r="B41" s="41" t="s">
        <v>13</v>
      </c>
      <c r="C41" s="40"/>
      <c r="D41" s="43"/>
      <c r="E41" s="43">
        <f>SUM(E36:E40)</f>
        <v>123.75999999999999</v>
      </c>
      <c r="F41" s="43"/>
      <c r="G41" s="43"/>
    </row>
    <row r="42" spans="2:7" ht="12.75">
      <c r="B42" s="10"/>
      <c r="C42" s="11"/>
      <c r="D42" s="12"/>
      <c r="E42" s="12"/>
      <c r="F42" s="12"/>
      <c r="G42" s="12"/>
    </row>
    <row r="43" spans="1:7" ht="12.75" hidden="1">
      <c r="A43" s="1">
        <v>3</v>
      </c>
      <c r="B43" s="5" t="s">
        <v>88</v>
      </c>
      <c r="C43" s="11"/>
      <c r="D43" s="12"/>
      <c r="E43" s="12"/>
      <c r="F43" s="12"/>
      <c r="G43" s="12"/>
    </row>
    <row r="44" spans="1:6" ht="12.75" hidden="1">
      <c r="A44" s="16"/>
      <c r="B44" s="10" t="s">
        <v>69</v>
      </c>
      <c r="C44" s="11">
        <v>0</v>
      </c>
      <c r="D44" s="12"/>
      <c r="E44" s="4">
        <f aca="true" t="shared" si="2" ref="E44:E49">$C44*D44</f>
        <v>0</v>
      </c>
      <c r="F44" s="12"/>
    </row>
    <row r="45" spans="1:6" ht="12.75" hidden="1">
      <c r="A45" s="17"/>
      <c r="B45" s="10" t="s">
        <v>70</v>
      </c>
      <c r="C45" s="11">
        <f>Calculations!B23</f>
        <v>8</v>
      </c>
      <c r="D45" s="12"/>
      <c r="E45" s="4">
        <f t="shared" si="2"/>
        <v>0</v>
      </c>
      <c r="F45" s="12"/>
    </row>
    <row r="46" spans="1:6" ht="12.75" hidden="1">
      <c r="A46" s="17"/>
      <c r="B46" s="10" t="s">
        <v>89</v>
      </c>
      <c r="C46" s="11">
        <v>3</v>
      </c>
      <c r="D46" s="12"/>
      <c r="E46" s="4">
        <f t="shared" si="2"/>
        <v>0</v>
      </c>
      <c r="F46" s="12"/>
    </row>
    <row r="47" spans="1:6" ht="12.75" hidden="1">
      <c r="A47" s="17"/>
      <c r="B47" s="10" t="s">
        <v>90</v>
      </c>
      <c r="C47" s="11">
        <v>2</v>
      </c>
      <c r="D47" s="12"/>
      <c r="E47" s="4">
        <f t="shared" si="2"/>
        <v>0</v>
      </c>
      <c r="F47" s="12"/>
    </row>
    <row r="48" spans="1:6" ht="12.75" hidden="1">
      <c r="A48" s="17"/>
      <c r="B48" s="10" t="s">
        <v>36</v>
      </c>
      <c r="C48" s="11">
        <f>SUM(C45:C47)</f>
        <v>13</v>
      </c>
      <c r="D48" s="12"/>
      <c r="E48" s="4">
        <f t="shared" si="2"/>
        <v>0</v>
      </c>
      <c r="F48" s="12"/>
    </row>
    <row r="49" spans="1:7" s="31" customFormat="1" ht="12.75" hidden="1">
      <c r="A49" s="30"/>
      <c r="B49" s="13" t="s">
        <v>35</v>
      </c>
      <c r="C49" s="35">
        <f>C48*2</f>
        <v>26</v>
      </c>
      <c r="D49" s="36"/>
      <c r="E49" s="33">
        <f t="shared" si="2"/>
        <v>0</v>
      </c>
      <c r="F49" s="36"/>
      <c r="G49" s="33"/>
    </row>
    <row r="50" spans="1:7" s="42" customFormat="1" ht="12.75" hidden="1">
      <c r="A50" s="40"/>
      <c r="B50" s="41" t="s">
        <v>13</v>
      </c>
      <c r="C50" s="40"/>
      <c r="D50" s="43"/>
      <c r="E50" s="43">
        <f>SUM(E44:E49)</f>
        <v>0</v>
      </c>
      <c r="F50" s="43"/>
      <c r="G50" s="43"/>
    </row>
    <row r="51" ht="12.75" hidden="1">
      <c r="B51" s="10"/>
    </row>
    <row r="52" spans="1:7" ht="12.75" hidden="1">
      <c r="A52" s="1">
        <v>3</v>
      </c>
      <c r="B52" s="5" t="s">
        <v>68</v>
      </c>
      <c r="C52" s="11"/>
      <c r="D52" s="12"/>
      <c r="E52" s="12"/>
      <c r="F52" s="12"/>
      <c r="G52" s="12"/>
    </row>
    <row r="53" spans="1:6" ht="12.75" hidden="1">
      <c r="A53" s="16"/>
      <c r="B53" s="10" t="s">
        <v>69</v>
      </c>
      <c r="C53" s="11">
        <v>0</v>
      </c>
      <c r="D53" s="12"/>
      <c r="E53" s="4">
        <f>$C53*D53</f>
        <v>0</v>
      </c>
      <c r="F53" s="12"/>
    </row>
    <row r="54" spans="1:6" ht="12.75" hidden="1">
      <c r="A54" s="17"/>
      <c r="B54" s="10" t="s">
        <v>70</v>
      </c>
      <c r="C54" s="11">
        <f>Calculations!B13*2</f>
        <v>12</v>
      </c>
      <c r="D54" s="12"/>
      <c r="E54" s="4">
        <f>$C54*D54</f>
        <v>0</v>
      </c>
      <c r="F54" s="12"/>
    </row>
    <row r="55" spans="1:6" ht="12.75" hidden="1">
      <c r="A55" s="17"/>
      <c r="B55" s="10" t="s">
        <v>36</v>
      </c>
      <c r="C55" s="11">
        <f>C54</f>
        <v>12</v>
      </c>
      <c r="D55" s="12"/>
      <c r="E55" s="4">
        <f>$C55*D55</f>
        <v>0</v>
      </c>
      <c r="F55" s="12"/>
    </row>
    <row r="56" spans="1:7" s="31" customFormat="1" ht="12.75" hidden="1">
      <c r="A56" s="30"/>
      <c r="B56" s="13" t="s">
        <v>35</v>
      </c>
      <c r="C56" s="35">
        <f>C55*2</f>
        <v>24</v>
      </c>
      <c r="D56" s="36"/>
      <c r="E56" s="33">
        <f>$C56*D56</f>
        <v>0</v>
      </c>
      <c r="F56" s="36"/>
      <c r="G56" s="33"/>
    </row>
    <row r="57" spans="1:7" s="42" customFormat="1" ht="12.75" hidden="1">
      <c r="A57" s="40"/>
      <c r="B57" s="41" t="s">
        <v>13</v>
      </c>
      <c r="C57" s="40"/>
      <c r="D57" s="43"/>
      <c r="E57" s="43">
        <f>SUM(E53:E56)</f>
        <v>0</v>
      </c>
      <c r="F57" s="43"/>
      <c r="G57" s="43"/>
    </row>
    <row r="58" spans="2:7" ht="12.75" hidden="1">
      <c r="B58" s="13"/>
      <c r="C58" s="11"/>
      <c r="D58" s="12"/>
      <c r="E58" s="12"/>
      <c r="F58" s="12"/>
      <c r="G58" s="12"/>
    </row>
    <row r="59" spans="1:7" ht="12.75">
      <c r="A59" s="1">
        <v>4</v>
      </c>
      <c r="B59" s="15" t="s">
        <v>71</v>
      </c>
      <c r="C59" s="11"/>
      <c r="D59" s="12"/>
      <c r="E59" s="12"/>
      <c r="F59" s="12"/>
      <c r="G59" s="12"/>
    </row>
    <row r="60" spans="1:5" ht="12.75">
      <c r="A60" s="16"/>
      <c r="B60" s="14" t="s">
        <v>72</v>
      </c>
      <c r="C60" s="11">
        <v>20</v>
      </c>
      <c r="D60" s="12">
        <v>18.97</v>
      </c>
      <c r="E60" s="4">
        <f aca="true" t="shared" si="3" ref="E60:E67">$C60*D60</f>
        <v>379.4</v>
      </c>
    </row>
    <row r="61" spans="1:5" ht="12.75" hidden="1">
      <c r="A61" s="17"/>
      <c r="B61" t="s">
        <v>66</v>
      </c>
      <c r="C61" s="11">
        <v>18</v>
      </c>
      <c r="D61" s="12"/>
      <c r="E61" s="4">
        <f t="shared" si="3"/>
        <v>0</v>
      </c>
    </row>
    <row r="62" spans="1:5" ht="12.75" hidden="1">
      <c r="A62" s="17"/>
      <c r="B62" t="s">
        <v>36</v>
      </c>
      <c r="C62" s="11">
        <f>C61</f>
        <v>18</v>
      </c>
      <c r="D62" s="12"/>
      <c r="E62" s="4">
        <f t="shared" si="3"/>
        <v>0</v>
      </c>
    </row>
    <row r="63" spans="1:5" ht="12.75" hidden="1">
      <c r="A63" s="17"/>
      <c r="B63" t="s">
        <v>35</v>
      </c>
      <c r="C63" s="11">
        <f>C62*2</f>
        <v>36</v>
      </c>
      <c r="D63" s="12"/>
      <c r="E63" s="4">
        <f t="shared" si="3"/>
        <v>0</v>
      </c>
    </row>
    <row r="64" spans="1:5" ht="12.75" hidden="1">
      <c r="A64" s="17"/>
      <c r="B64" t="s">
        <v>73</v>
      </c>
      <c r="C64" s="11">
        <v>18</v>
      </c>
      <c r="D64" s="12"/>
      <c r="E64" s="4">
        <f t="shared" si="3"/>
        <v>0</v>
      </c>
    </row>
    <row r="65" spans="1:5" ht="12.75" hidden="1">
      <c r="A65" s="17"/>
      <c r="B65" t="s">
        <v>34</v>
      </c>
      <c r="C65" s="11">
        <v>8</v>
      </c>
      <c r="D65" s="12"/>
      <c r="E65" s="4">
        <f t="shared" si="3"/>
        <v>0</v>
      </c>
    </row>
    <row r="66" spans="1:5" ht="12.75" hidden="1">
      <c r="A66" s="17"/>
      <c r="B66" t="s">
        <v>36</v>
      </c>
      <c r="C66" s="11">
        <f>C64+C65</f>
        <v>26</v>
      </c>
      <c r="D66" s="12"/>
      <c r="E66" s="4">
        <f t="shared" si="3"/>
        <v>0</v>
      </c>
    </row>
    <row r="67" spans="1:7" s="31" customFormat="1" ht="12.75" hidden="1">
      <c r="A67" s="30"/>
      <c r="B67" s="31" t="s">
        <v>35</v>
      </c>
      <c r="C67" s="35">
        <f>C66*2</f>
        <v>52</v>
      </c>
      <c r="D67" s="36"/>
      <c r="E67" s="33">
        <f t="shared" si="3"/>
        <v>0</v>
      </c>
      <c r="F67" s="33"/>
      <c r="G67" s="33"/>
    </row>
    <row r="68" spans="1:7" s="42" customFormat="1" ht="12.75">
      <c r="A68" s="40"/>
      <c r="B68" s="41" t="s">
        <v>13</v>
      </c>
      <c r="C68" s="44"/>
      <c r="D68" s="45"/>
      <c r="E68" s="43">
        <f>SUM(E58:E67)</f>
        <v>379.4</v>
      </c>
      <c r="F68" s="43"/>
      <c r="G68" s="43"/>
    </row>
    <row r="69" spans="2:4" ht="12.75">
      <c r="B69" s="13"/>
      <c r="C69" s="11"/>
      <c r="D69" s="12"/>
    </row>
    <row r="70" spans="1:7" ht="12.75" hidden="1">
      <c r="A70" s="1">
        <v>5</v>
      </c>
      <c r="B70" s="5" t="s">
        <v>22</v>
      </c>
      <c r="C70" s="11"/>
      <c r="D70" s="12"/>
      <c r="E70" s="12"/>
      <c r="F70" s="12"/>
      <c r="G70" s="12"/>
    </row>
    <row r="71" spans="1:6" ht="12.75" hidden="1">
      <c r="A71" s="16"/>
      <c r="B71" s="10" t="s">
        <v>69</v>
      </c>
      <c r="C71" s="11">
        <v>0</v>
      </c>
      <c r="D71" s="12"/>
      <c r="E71" s="4">
        <f>$C71*D71</f>
        <v>0</v>
      </c>
      <c r="F71" s="12"/>
    </row>
    <row r="72" spans="1:6" ht="12.75" hidden="1">
      <c r="A72" s="17"/>
      <c r="B72" s="10" t="s">
        <v>74</v>
      </c>
      <c r="C72" s="11">
        <f>Calculations!B18*2</f>
        <v>54</v>
      </c>
      <c r="D72" s="12"/>
      <c r="E72" s="4">
        <f>$C72*D72</f>
        <v>0</v>
      </c>
      <c r="F72" s="12"/>
    </row>
    <row r="73" spans="1:6" ht="12.75" hidden="1">
      <c r="A73" s="17"/>
      <c r="B73" s="10" t="s">
        <v>36</v>
      </c>
      <c r="C73" s="11">
        <f>C72</f>
        <v>54</v>
      </c>
      <c r="D73" s="12"/>
      <c r="E73" s="4">
        <f>$C73*D73</f>
        <v>0</v>
      </c>
      <c r="F73" s="12"/>
    </row>
    <row r="74" spans="1:7" s="31" customFormat="1" ht="12.75" hidden="1">
      <c r="A74" s="30"/>
      <c r="B74" s="13" t="s">
        <v>35</v>
      </c>
      <c r="C74" s="35">
        <f>C73*2</f>
        <v>108</v>
      </c>
      <c r="D74" s="36"/>
      <c r="E74" s="33">
        <f>$C74*D74</f>
        <v>0</v>
      </c>
      <c r="F74" s="36"/>
      <c r="G74" s="33"/>
    </row>
    <row r="75" spans="1:7" s="42" customFormat="1" ht="12.75" hidden="1">
      <c r="A75" s="40"/>
      <c r="B75" s="41" t="s">
        <v>13</v>
      </c>
      <c r="C75" s="40"/>
      <c r="D75" s="43"/>
      <c r="E75" s="43">
        <f>SUM(E71:E74)</f>
        <v>0</v>
      </c>
      <c r="F75" s="43"/>
      <c r="G75" s="43"/>
    </row>
    <row r="76" spans="2:4" ht="12.75" hidden="1">
      <c r="B76" s="13"/>
      <c r="C76" s="11"/>
      <c r="D76" s="12"/>
    </row>
    <row r="77" spans="1:4" ht="12.75">
      <c r="A77" s="1">
        <v>6</v>
      </c>
      <c r="B77" s="15" t="s">
        <v>78</v>
      </c>
      <c r="C77" s="11"/>
      <c r="D77" s="12"/>
    </row>
    <row r="78" spans="1:5" ht="12.75">
      <c r="A78" s="16"/>
      <c r="B78" s="14" t="s">
        <v>75</v>
      </c>
      <c r="C78" s="11">
        <f>Calculations!B60</f>
        <v>20</v>
      </c>
      <c r="D78" s="12">
        <v>2.39</v>
      </c>
      <c r="E78" s="4">
        <f>$C78*D78</f>
        <v>47.800000000000004</v>
      </c>
    </row>
    <row r="79" spans="1:5" ht="12.75">
      <c r="A79" s="16"/>
      <c r="B79" s="14" t="s">
        <v>76</v>
      </c>
      <c r="C79" s="11">
        <f>Calculations!B67</f>
        <v>25</v>
      </c>
      <c r="D79" s="12">
        <v>3.49</v>
      </c>
      <c r="E79" s="4">
        <f>$C79*D79</f>
        <v>87.25</v>
      </c>
    </row>
    <row r="80" spans="1:5" ht="12.75" hidden="1">
      <c r="A80" s="16"/>
      <c r="B80" s="14" t="s">
        <v>77</v>
      </c>
      <c r="C80" s="11">
        <v>0</v>
      </c>
      <c r="D80" s="12">
        <v>5.97</v>
      </c>
      <c r="E80" s="4">
        <f>$C80*D80</f>
        <v>0</v>
      </c>
    </row>
    <row r="81" spans="1:7" s="31" customFormat="1" ht="12.75" hidden="1">
      <c r="A81" s="30"/>
      <c r="B81" s="14" t="s">
        <v>79</v>
      </c>
      <c r="C81" s="35">
        <v>0</v>
      </c>
      <c r="D81" s="36"/>
      <c r="E81" s="33">
        <f>$C81*D81</f>
        <v>0</v>
      </c>
      <c r="F81" s="33"/>
      <c r="G81" s="33"/>
    </row>
    <row r="82" spans="1:7" s="42" customFormat="1" ht="12.75">
      <c r="A82" s="40"/>
      <c r="B82" s="41" t="s">
        <v>13</v>
      </c>
      <c r="C82" s="40"/>
      <c r="D82" s="43"/>
      <c r="E82" s="43">
        <f>SUM(E78:E81)</f>
        <v>135.05</v>
      </c>
      <c r="F82" s="43"/>
      <c r="G82" s="43"/>
    </row>
    <row r="83" ht="12.75" hidden="1">
      <c r="B83" s="10"/>
    </row>
    <row r="84" spans="1:2" ht="12.75" hidden="1">
      <c r="A84" s="1">
        <v>7</v>
      </c>
      <c r="B84" s="5" t="s">
        <v>0</v>
      </c>
    </row>
    <row r="85" spans="1:7" ht="12.75" hidden="1">
      <c r="A85" s="19"/>
      <c r="B85" t="s">
        <v>41</v>
      </c>
      <c r="C85" s="1">
        <v>0</v>
      </c>
      <c r="D85" s="4">
        <v>16.97</v>
      </c>
      <c r="E85" s="4">
        <f aca="true" t="shared" si="4" ref="E85:E90">C85*D85</f>
        <v>0</v>
      </c>
      <c r="F85" s="4">
        <v>15.94</v>
      </c>
      <c r="G85" s="4">
        <f>C85*F85</f>
        <v>0</v>
      </c>
    </row>
    <row r="86" spans="1:7" ht="12.75" hidden="1">
      <c r="A86" s="19"/>
      <c r="B86" t="s">
        <v>91</v>
      </c>
      <c r="C86" s="1">
        <v>0</v>
      </c>
      <c r="E86" s="4">
        <f t="shared" si="4"/>
        <v>0</v>
      </c>
      <c r="G86" s="4">
        <f>C86*F86</f>
        <v>0</v>
      </c>
    </row>
    <row r="87" spans="1:5" ht="12.75" hidden="1">
      <c r="A87" s="19"/>
      <c r="B87" t="s">
        <v>157</v>
      </c>
      <c r="C87" s="1">
        <v>0</v>
      </c>
      <c r="D87" s="4">
        <v>4.98</v>
      </c>
      <c r="E87" s="4">
        <f t="shared" si="4"/>
        <v>0</v>
      </c>
    </row>
    <row r="88" spans="1:7" ht="12.75" hidden="1">
      <c r="A88" s="19"/>
      <c r="B88" t="s">
        <v>5</v>
      </c>
      <c r="C88" s="1">
        <v>0</v>
      </c>
      <c r="D88" s="4">
        <f>6.99/5</f>
        <v>1.3980000000000001</v>
      </c>
      <c r="E88" s="4">
        <f t="shared" si="4"/>
        <v>0</v>
      </c>
      <c r="F88" s="4">
        <f>5.42/5</f>
        <v>1.084</v>
      </c>
      <c r="G88" s="4">
        <f>C88*F88</f>
        <v>0</v>
      </c>
    </row>
    <row r="89" spans="1:7" ht="12.75" hidden="1">
      <c r="A89" s="19"/>
      <c r="B89" t="s">
        <v>4</v>
      </c>
      <c r="C89" s="1">
        <v>0</v>
      </c>
      <c r="E89" s="4">
        <f t="shared" si="4"/>
        <v>0</v>
      </c>
      <c r="G89" s="4">
        <f>C89*F89</f>
        <v>0</v>
      </c>
    </row>
    <row r="90" spans="1:7" s="31" customFormat="1" ht="12.75" hidden="1">
      <c r="A90" s="37"/>
      <c r="B90" s="31" t="s">
        <v>12</v>
      </c>
      <c r="C90" s="32">
        <v>0</v>
      </c>
      <c r="D90" s="33">
        <v>5.19</v>
      </c>
      <c r="E90" s="33">
        <f t="shared" si="4"/>
        <v>0</v>
      </c>
      <c r="F90" s="33">
        <v>5.19</v>
      </c>
      <c r="G90" s="33">
        <f>C90*F90</f>
        <v>0</v>
      </c>
    </row>
    <row r="91" spans="1:7" s="42" customFormat="1" ht="12.75" hidden="1">
      <c r="A91" s="40"/>
      <c r="B91" s="41" t="s">
        <v>13</v>
      </c>
      <c r="C91" s="40"/>
      <c r="D91" s="43"/>
      <c r="E91" s="43">
        <f>SUM(E85:E90)</f>
        <v>0</v>
      </c>
      <c r="F91" s="43"/>
      <c r="G91" s="43">
        <f>SUM(G85:G90)</f>
        <v>0</v>
      </c>
    </row>
    <row r="93" spans="2:7" ht="12.75">
      <c r="B93" s="5" t="s">
        <v>141</v>
      </c>
      <c r="C93" s="2" t="s">
        <v>126</v>
      </c>
      <c r="D93" s="3" t="s">
        <v>149</v>
      </c>
      <c r="E93" s="3" t="s">
        <v>146</v>
      </c>
      <c r="F93" s="3" t="s">
        <v>147</v>
      </c>
      <c r="G93" s="3" t="s">
        <v>148</v>
      </c>
    </row>
    <row r="94" spans="1:7" ht="12.75" hidden="1">
      <c r="A94" s="17"/>
      <c r="B94" s="27" t="str">
        <f>'Machine Bolts'!E17</f>
        <v>3/8</v>
      </c>
      <c r="C94">
        <f>'Machine Bolts'!F17</f>
        <v>6</v>
      </c>
      <c r="D94">
        <v>0</v>
      </c>
      <c r="E94">
        <v>0</v>
      </c>
      <c r="F94" s="29">
        <v>0</v>
      </c>
      <c r="G94" s="4">
        <v>0</v>
      </c>
    </row>
    <row r="95" spans="1:7" ht="12.75">
      <c r="A95" s="17"/>
      <c r="B95" s="27" t="str">
        <f>'Machine Bolts'!E18</f>
        <v>3/8</v>
      </c>
      <c r="C95">
        <f>'Machine Bolts'!F18</f>
        <v>8</v>
      </c>
      <c r="D95">
        <v>34</v>
      </c>
      <c r="E95"/>
      <c r="F95" s="29"/>
      <c r="G95" s="4">
        <f>D95*(('Machine Bolts'!H$26+'Machine Bolts'!E$26+2*'Machine Bolts'!F$26))</f>
        <v>66.3</v>
      </c>
    </row>
    <row r="96" spans="1:7" ht="12.75">
      <c r="A96" s="17"/>
      <c r="B96" s="27" t="s">
        <v>170</v>
      </c>
      <c r="C96">
        <f>'Machine Bolts'!F19</f>
        <v>5</v>
      </c>
      <c r="D96">
        <v>30</v>
      </c>
      <c r="G96" s="4">
        <v>0</v>
      </c>
    </row>
    <row r="97" spans="1:7" ht="12.75" hidden="1">
      <c r="A97" s="17"/>
      <c r="B97" s="27" t="str">
        <f>'Machine Bolts'!E20</f>
        <v>1/2</v>
      </c>
      <c r="C97">
        <f>'Machine Bolts'!F20</f>
        <v>6</v>
      </c>
      <c r="D97">
        <v>0</v>
      </c>
      <c r="E97">
        <v>0</v>
      </c>
      <c r="F97" s="29">
        <v>0</v>
      </c>
      <c r="G97" s="4">
        <v>0</v>
      </c>
    </row>
    <row r="98" spans="1:7" ht="12.75">
      <c r="A98" s="17"/>
      <c r="B98" s="27" t="str">
        <f>'Machine Bolts'!E21</f>
        <v>1/2</v>
      </c>
      <c r="C98">
        <f>'Machine Bolts'!F21</f>
        <v>8</v>
      </c>
      <c r="D98">
        <v>4</v>
      </c>
      <c r="E98"/>
      <c r="F98" s="29"/>
      <c r="G98" s="4">
        <f>D98*(('Machine Bolts'!H$27+'Machine Bolts'!E$27+2*'Machine Bolts'!F$27))</f>
        <v>11.96</v>
      </c>
    </row>
    <row r="99" spans="1:7" s="31" customFormat="1" ht="12.75">
      <c r="A99" s="30"/>
      <c r="B99" s="38" t="str">
        <f>'Machine Bolts'!E22</f>
        <v>5/8</v>
      </c>
      <c r="C99" s="31">
        <f>'Machine Bolts'!F22</f>
        <v>8</v>
      </c>
      <c r="D99" s="31">
        <f>'Machine Bolts'!G22</f>
        <v>16</v>
      </c>
      <c r="E99" s="31">
        <f>D99</f>
        <v>16</v>
      </c>
      <c r="F99" s="39">
        <f>2*E99</f>
        <v>32</v>
      </c>
      <c r="G99" s="33">
        <f>'Machine Bolts'!H22</f>
        <v>65.28</v>
      </c>
    </row>
    <row r="100" spans="1:7" s="42" customFormat="1" ht="12.75">
      <c r="A100" s="40"/>
      <c r="B100" s="41" t="s">
        <v>13</v>
      </c>
      <c r="C100" s="40"/>
      <c r="D100" s="42">
        <f>SUM(D94:D99)</f>
        <v>84</v>
      </c>
      <c r="E100" s="42">
        <f>SUM(E94:E99)</f>
        <v>16</v>
      </c>
      <c r="F100" s="42">
        <f>SUM(F94:F99)</f>
        <v>32</v>
      </c>
      <c r="G100" s="43">
        <f>SUM(G94:G99)</f>
        <v>143.54</v>
      </c>
    </row>
    <row r="103" spans="2:5" ht="12.75">
      <c r="B103" s="5" t="s">
        <v>174</v>
      </c>
      <c r="E103" s="4">
        <f>SUM(E14,E26,E33,E41,E50,E57,E68,E75,E82,E91,G100)</f>
        <v>1121.6699999999998</v>
      </c>
    </row>
    <row r="106" spans="2:5" ht="12.75" hidden="1">
      <c r="B106" t="s">
        <v>156</v>
      </c>
      <c r="C106" s="1">
        <v>0</v>
      </c>
      <c r="D106" s="4">
        <v>6.97</v>
      </c>
      <c r="E106" s="4">
        <f>C106*D106</f>
        <v>0</v>
      </c>
    </row>
  </sheetData>
  <mergeCells count="2">
    <mergeCell ref="D1:E1"/>
    <mergeCell ref="F1:G1"/>
  </mergeCells>
  <printOptions horizontalCentered="1"/>
  <pageMargins left="0.75" right="0.75" top="1" bottom="0.5" header="0.5" footer="0.5"/>
  <pageSetup horizontalDpi="600" verticalDpi="600" orientation="portrait" r:id="rId1"/>
  <headerFooter alignWithMargins="0">
    <oddHeader>&amp;C&amp;F  (&amp;A)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Carroll</dc:creator>
  <cp:keywords/>
  <dc:description/>
  <cp:lastModifiedBy>Kevin Carroll</cp:lastModifiedBy>
  <cp:lastPrinted>2005-11-10T21:12:35Z</cp:lastPrinted>
  <dcterms:created xsi:type="dcterms:W3CDTF">2005-10-23T17:15:52Z</dcterms:created>
  <dcterms:modified xsi:type="dcterms:W3CDTF">2005-11-11T03:31:22Z</dcterms:modified>
  <cp:category/>
  <cp:version/>
  <cp:contentType/>
  <cp:contentStatus/>
</cp:coreProperties>
</file>